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em\Documents\01-A5J\ATP\"/>
    </mc:Choice>
  </mc:AlternateContent>
  <xr:revisionPtr revIDLastSave="0" documentId="13_ncr:1_{0E98D96D-4CE1-4A1A-B74A-AF27E9B316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sse salariale et CA indiv" sheetId="3" r:id="rId1"/>
    <sheet name="Compte d'exploitation " sheetId="1" r:id="rId2"/>
    <sheet name="simulation emprunt" sheetId="2" r:id="rId3"/>
  </sheets>
  <definedNames>
    <definedName name="_xlnm.Print_Area" localSheetId="2">'simulation emprunt'!$A$1:$K$15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2" i="1" l="1"/>
  <c r="D65" i="1"/>
  <c r="K24" i="2"/>
  <c r="K25" i="2" s="1"/>
  <c r="E65" i="1"/>
  <c r="F65" i="1"/>
  <c r="F62" i="1"/>
  <c r="E62" i="1"/>
  <c r="G5" i="2"/>
  <c r="D13" i="1"/>
  <c r="D29" i="1"/>
  <c r="D28" i="1"/>
  <c r="D27" i="1"/>
  <c r="P10" i="3"/>
  <c r="E9" i="1"/>
  <c r="F9" i="1" s="1"/>
  <c r="E10" i="1"/>
  <c r="F10" i="1" s="1"/>
  <c r="E8" i="1"/>
  <c r="E13" i="1" s="1"/>
  <c r="D33" i="1"/>
  <c r="D25" i="1"/>
  <c r="E22" i="1"/>
  <c r="F22" i="1"/>
  <c r="D22" i="1"/>
  <c r="D11" i="1"/>
  <c r="E11" i="1" s="1"/>
  <c r="F11" i="1" s="1"/>
  <c r="K16" i="2"/>
  <c r="J8" i="3"/>
  <c r="F8" i="1" l="1"/>
  <c r="F13" i="1" s="1"/>
  <c r="D14" i="1"/>
  <c r="D16" i="1" s="1"/>
  <c r="K5" i="3"/>
  <c r="M5" i="3" s="1"/>
  <c r="N5" i="3" s="1"/>
  <c r="P5" i="3" s="1"/>
  <c r="R5" i="3" s="1"/>
  <c r="I5" i="3"/>
  <c r="K15" i="2"/>
  <c r="K11" i="2"/>
  <c r="E20" i="1"/>
  <c r="F20" i="1" s="1"/>
  <c r="J7" i="3"/>
  <c r="F14" i="1" l="1"/>
  <c r="E14" i="1"/>
  <c r="I13" i="3"/>
  <c r="K13" i="3"/>
  <c r="K15" i="3"/>
  <c r="K14" i="3"/>
  <c r="AE33" i="3"/>
  <c r="E24" i="1" l="1"/>
  <c r="F24" i="1" s="1"/>
  <c r="E21" i="1"/>
  <c r="F21" i="1" s="1"/>
  <c r="M14" i="3"/>
  <c r="N14" i="3" s="1"/>
  <c r="E25" i="1"/>
  <c r="F25" i="1" s="1"/>
  <c r="I7" i="3"/>
  <c r="I14" i="3"/>
  <c r="M13" i="3"/>
  <c r="N13" i="3" s="1"/>
  <c r="K12" i="3"/>
  <c r="M12" i="3" s="1"/>
  <c r="N12" i="3" s="1"/>
  <c r="P12" i="3" s="1"/>
  <c r="R12" i="3" s="1"/>
  <c r="I12" i="3"/>
  <c r="K11" i="3"/>
  <c r="M11" i="3" s="1"/>
  <c r="N11" i="3" s="1"/>
  <c r="P11" i="3" s="1"/>
  <c r="R11" i="3" s="1"/>
  <c r="I11" i="3"/>
  <c r="K10" i="3"/>
  <c r="M10" i="3" s="1"/>
  <c r="N10" i="3" s="1"/>
  <c r="R10" i="3" s="1"/>
  <c r="I10" i="3"/>
  <c r="K9" i="3"/>
  <c r="M9" i="3" s="1"/>
  <c r="N9" i="3" s="1"/>
  <c r="P9" i="3" s="1"/>
  <c r="R9" i="3" s="1"/>
  <c r="I9" i="3"/>
  <c r="K8" i="3"/>
  <c r="M8" i="3" s="1"/>
  <c r="N8" i="3" s="1"/>
  <c r="P8" i="3" s="1"/>
  <c r="R8" i="3" s="1"/>
  <c r="I8" i="3"/>
  <c r="K7" i="3"/>
  <c r="M7" i="3" s="1"/>
  <c r="N7" i="3" s="1"/>
  <c r="R15" i="3" l="1"/>
  <c r="M15" i="3"/>
  <c r="N15" i="3" s="1"/>
  <c r="P14" i="3" s="1"/>
  <c r="R14" i="3" s="1"/>
  <c r="P7" i="3"/>
  <c r="R7" i="3" s="1"/>
  <c r="D47" i="1"/>
  <c r="D61" i="1" s="1"/>
  <c r="I4" i="3"/>
  <c r="P13" i="3" l="1"/>
  <c r="R13" i="3" s="1"/>
  <c r="E45" i="1"/>
  <c r="F45" i="1" s="1"/>
  <c r="K4" i="3" l="1"/>
  <c r="I6" i="3"/>
  <c r="I15" i="3"/>
  <c r="I3" i="3"/>
  <c r="K6" i="3"/>
  <c r="M6" i="3" s="1"/>
  <c r="N6" i="3" s="1"/>
  <c r="K3" i="3"/>
  <c r="F47" i="1"/>
  <c r="E47" i="1"/>
  <c r="M3" i="3" l="1"/>
  <c r="N3" i="3" s="1"/>
  <c r="P3" i="3" s="1"/>
  <c r="R3" i="3" s="1"/>
  <c r="K16" i="3"/>
  <c r="P6" i="3"/>
  <c r="R6" i="3" s="1"/>
  <c r="M4" i="3"/>
  <c r="N4" i="3" s="1"/>
  <c r="I16" i="3"/>
  <c r="E61" i="1"/>
  <c r="F61" i="1"/>
  <c r="N16" i="3" l="1"/>
  <c r="E33" i="1"/>
  <c r="F33" i="1" s="1"/>
  <c r="P4" i="3"/>
  <c r="R4" i="3" l="1"/>
  <c r="R16" i="3" s="1"/>
  <c r="F37" i="1" s="1"/>
  <c r="P16" i="3"/>
  <c r="E37" i="1" s="1"/>
  <c r="D37" i="1" l="1"/>
  <c r="D35" i="1"/>
  <c r="F35" i="1" l="1"/>
  <c r="E35" i="1"/>
  <c r="E16" i="1"/>
  <c r="E6" i="1"/>
  <c r="E43" i="1" l="1"/>
  <c r="E49" i="1" s="1"/>
  <c r="E4" i="1"/>
  <c r="E59" i="1" l="1"/>
  <c r="E51" i="1"/>
  <c r="E63" i="1" l="1"/>
  <c r="E53" i="1"/>
  <c r="D6" i="1" l="1"/>
  <c r="D4" i="1" s="1"/>
  <c r="D43" i="1"/>
  <c r="D59" i="1" s="1"/>
  <c r="D49" i="1" l="1"/>
  <c r="D51" i="1" l="1"/>
  <c r="D63" i="1" l="1"/>
  <c r="D53" i="1"/>
  <c r="F6" i="1"/>
  <c r="F4" i="1" s="1"/>
  <c r="F16" i="1" l="1"/>
  <c r="F43" i="1" s="1"/>
  <c r="F59" i="1" l="1"/>
  <c r="F49" i="1"/>
  <c r="F51" i="1" s="1"/>
  <c r="F53" i="1" s="1"/>
  <c r="F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N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Microsoft:</t>
        </r>
        <r>
          <rPr>
            <sz val="9"/>
            <color indexed="81"/>
            <rFont val="Tahoma"/>
            <charset val="1"/>
          </rPr>
          <t xml:space="preserve">
calculer du 1er mai au 30 avril
</t>
        </r>
      </text>
    </comment>
  </commentList>
</comments>
</file>

<file path=xl/sharedStrings.xml><?xml version="1.0" encoding="utf-8"?>
<sst xmlns="http://schemas.openxmlformats.org/spreadsheetml/2006/main" count="644" uniqueCount="374">
  <si>
    <t>charge</t>
  </si>
  <si>
    <t>salaire</t>
  </si>
  <si>
    <t>Marge brute</t>
  </si>
  <si>
    <t>Eau / EDF / Chauffage</t>
  </si>
  <si>
    <t>Assurance</t>
  </si>
  <si>
    <t>Téléphone, PTT, Internet</t>
  </si>
  <si>
    <t>Autres taxes (FC + taxe App.)</t>
  </si>
  <si>
    <t>dotation aux amortissement</t>
  </si>
  <si>
    <t>Résultat net comptable</t>
  </si>
  <si>
    <t>CA TTC</t>
  </si>
  <si>
    <t>Date</t>
  </si>
  <si>
    <t>Mensualité</t>
  </si>
  <si>
    <t>Capital remb</t>
  </si>
  <si>
    <t>Intérêt</t>
  </si>
  <si>
    <t>exedent brute d'exploitation</t>
  </si>
  <si>
    <t>CA TTC mensuel</t>
  </si>
  <si>
    <t>DETERMINATION DE LA CAF</t>
  </si>
  <si>
    <t>N</t>
  </si>
  <si>
    <t>N + 1</t>
  </si>
  <si>
    <t>N + 2</t>
  </si>
  <si>
    <t xml:space="preserve"> - charges financières</t>
  </si>
  <si>
    <t xml:space="preserve">resultat avant impot </t>
  </si>
  <si>
    <t>charges financières emprunts</t>
  </si>
  <si>
    <t>durée :</t>
  </si>
  <si>
    <t>7 ans</t>
  </si>
  <si>
    <t>taux :</t>
  </si>
  <si>
    <t>assurance :</t>
  </si>
  <si>
    <t>(c'est 4 € par tranche de 10 000€)</t>
  </si>
  <si>
    <t xml:space="preserve">is à 15% </t>
  </si>
  <si>
    <t>Collaborateur</t>
  </si>
  <si>
    <t>Poste</t>
  </si>
  <si>
    <t>Salaire brute mensuel</t>
  </si>
  <si>
    <t>Taux charges</t>
  </si>
  <si>
    <t>Salaire annuel</t>
  </si>
  <si>
    <t>Charges sociales</t>
  </si>
  <si>
    <t>Coût Annuel N</t>
  </si>
  <si>
    <t>Nbres en N</t>
  </si>
  <si>
    <t>Nbres en N + 1</t>
  </si>
  <si>
    <t>Coût Annuel N+1</t>
  </si>
  <si>
    <t>augmentation :</t>
  </si>
  <si>
    <t>Nbres en N + 2</t>
  </si>
  <si>
    <t>Coût Annuel N+2</t>
  </si>
  <si>
    <t>CA Annuel</t>
  </si>
  <si>
    <t>Nbre de jrs travaillé annuel</t>
  </si>
  <si>
    <t>CA journalier</t>
  </si>
  <si>
    <t>Tableau d'emprunt simul internet :</t>
  </si>
  <si>
    <t>Montant de l'emprunt :</t>
  </si>
  <si>
    <t>Honoraire comptable</t>
  </si>
  <si>
    <t>Petit outillage + pdts entretien</t>
  </si>
  <si>
    <t>Projet</t>
  </si>
  <si>
    <t xml:space="preserve">Achat fond de commerce </t>
  </si>
  <si>
    <t>Frais de banque (frais+cb+agios)</t>
  </si>
  <si>
    <t>Medecine du travail</t>
  </si>
  <si>
    <t>Subventions :</t>
  </si>
  <si>
    <t>Travaux</t>
  </si>
  <si>
    <t>depot garantie</t>
  </si>
  <si>
    <t>frais constitution</t>
  </si>
  <si>
    <t>Prêt</t>
  </si>
  <si>
    <t>Apport</t>
  </si>
  <si>
    <t xml:space="preserve">COMPTE D'EXPLOITATION PREVISIONNEL SUR 3 ANS </t>
  </si>
  <si>
    <t xml:space="preserve"> - impôt  à payer</t>
  </si>
  <si>
    <t xml:space="preserve">Prénom </t>
  </si>
  <si>
    <t>année naissance</t>
  </si>
  <si>
    <t>anciennetée</t>
  </si>
  <si>
    <t>Enseigne</t>
  </si>
  <si>
    <t>Charges locative</t>
  </si>
  <si>
    <t xml:space="preserve">Loyer </t>
  </si>
  <si>
    <t>Entretien des locaux</t>
  </si>
  <si>
    <t>CFE</t>
  </si>
  <si>
    <t>Qualification</t>
  </si>
  <si>
    <t>fond de roulement</t>
  </si>
  <si>
    <t>stock rachat</t>
  </si>
  <si>
    <t>Aide contrat app. 1ère année</t>
  </si>
  <si>
    <t>CAP</t>
  </si>
  <si>
    <t>ERIC</t>
  </si>
  <si>
    <t>Resp. Commercial</t>
  </si>
  <si>
    <t>Resp. Technique</t>
  </si>
  <si>
    <t>CHRISTOPHE</t>
  </si>
  <si>
    <t>Technicien</t>
  </si>
  <si>
    <t>Particularité</t>
  </si>
  <si>
    <t xml:space="preserve">Luigi </t>
  </si>
  <si>
    <t>LUIGI (39h)</t>
  </si>
  <si>
    <t>Apprenti</t>
  </si>
  <si>
    <t>CLEMENT</t>
  </si>
  <si>
    <t>ROMARIC (39h)</t>
  </si>
  <si>
    <t>Romaric</t>
  </si>
  <si>
    <t>13ème mois en juillet 2025 = 1 372€</t>
  </si>
  <si>
    <t>Mutuelle 50% employeur/salarié</t>
  </si>
  <si>
    <t>Christophe, Eric et Luigi : mutelle à 93,42€</t>
  </si>
  <si>
    <t>Karam</t>
  </si>
  <si>
    <t>Romaric et karam mutuelle à 239,40€</t>
  </si>
  <si>
    <t>Horaire de travail sur contrat</t>
  </si>
  <si>
    <t>Fin contrat aprenti le 30/06/2026</t>
  </si>
  <si>
    <t>Karam posède une prime exceptionnelle sa première année de contrat puis un treizième mois</t>
  </si>
  <si>
    <t>Le treizième mois est verser en 2 fois sur l'année à partir de 1 ans d'anciennetée</t>
  </si>
  <si>
    <t xml:space="preserve"> = 3 mois de loyer</t>
  </si>
  <si>
    <t>Négociation bail</t>
  </si>
  <si>
    <t>Redaction bail</t>
  </si>
  <si>
    <t>1er loyer = 1 trimestre</t>
  </si>
  <si>
    <t>XXXXX</t>
  </si>
  <si>
    <t>Directeur</t>
  </si>
  <si>
    <t>PLAN DE FINANCEMENT</t>
  </si>
  <si>
    <t>Voiture</t>
  </si>
  <si>
    <t>il y a déjà un véhicule dans la structure</t>
  </si>
  <si>
    <t>Prestation de services</t>
  </si>
  <si>
    <t>Vente de marchandise</t>
  </si>
  <si>
    <t>Location de balance</t>
  </si>
  <si>
    <t>Refacturation local</t>
  </si>
  <si>
    <r>
      <t xml:space="preserve">achat produit revente </t>
    </r>
    <r>
      <rPr>
        <sz val="11"/>
        <color theme="1"/>
        <rFont val="Calibri"/>
        <family val="2"/>
        <scheme val="minor"/>
      </rPr>
      <t>(50 % CA HT)</t>
    </r>
  </si>
  <si>
    <t>Nouveaux</t>
  </si>
  <si>
    <t>notaire (6%)</t>
  </si>
  <si>
    <t>Système de surveillance</t>
  </si>
  <si>
    <t>Publicité/marketing</t>
  </si>
  <si>
    <t xml:space="preserve">Frais deplacement repas </t>
  </si>
  <si>
    <t>Frais deplacement essence</t>
  </si>
  <si>
    <t>Frais deplacement péage</t>
  </si>
  <si>
    <r>
      <t xml:space="preserve">achat produit prestation </t>
    </r>
    <r>
      <rPr>
        <sz val="11"/>
        <color theme="1"/>
        <rFont val="Calibri"/>
        <family val="2"/>
        <scheme val="minor"/>
      </rPr>
      <t>(8 % CA HT)</t>
    </r>
  </si>
  <si>
    <t>250 €/mois</t>
  </si>
  <si>
    <t>445315.38</t>
  </si>
  <si>
    <t>6109.62</t>
  </si>
  <si>
    <t>4684.62</t>
  </si>
  <si>
    <t>1425.00</t>
  </si>
  <si>
    <t>250.00</t>
  </si>
  <si>
    <t>6359.62</t>
  </si>
  <si>
    <t>440615.92</t>
  </si>
  <si>
    <t>4699.46</t>
  </si>
  <si>
    <t>1410.17</t>
  </si>
  <si>
    <t>435901.59</t>
  </si>
  <si>
    <t>4714.34</t>
  </si>
  <si>
    <t>1395.28</t>
  </si>
  <si>
    <t>431172.32</t>
  </si>
  <si>
    <t>4729.27</t>
  </si>
  <si>
    <t>1380.36</t>
  </si>
  <si>
    <t>426428.08</t>
  </si>
  <si>
    <t>4744.24</t>
  </si>
  <si>
    <t>1365.38</t>
  </si>
  <si>
    <t>421668.81</t>
  </si>
  <si>
    <t>4759.27</t>
  </si>
  <si>
    <t>1350.36</t>
  </si>
  <si>
    <t>416894.48</t>
  </si>
  <si>
    <t>4774.34</t>
  </si>
  <si>
    <t>1335.28</t>
  </si>
  <si>
    <t>412105.02</t>
  </si>
  <si>
    <t>4789.46</t>
  </si>
  <si>
    <t>1320.17</t>
  </si>
  <si>
    <t>407300.40</t>
  </si>
  <si>
    <t>4804.62</t>
  </si>
  <si>
    <t>1305.00</t>
  </si>
  <si>
    <t>402480.56</t>
  </si>
  <si>
    <t>4819.84</t>
  </si>
  <si>
    <t>1289.78</t>
  </si>
  <si>
    <t>397645.46</t>
  </si>
  <si>
    <t>4835.10</t>
  </si>
  <si>
    <t>1274.52</t>
  </si>
  <si>
    <t>392795.05</t>
  </si>
  <si>
    <t>4850.41</t>
  </si>
  <si>
    <t>1259.21</t>
  </si>
  <si>
    <t>387929.28</t>
  </si>
  <si>
    <t>4865.77</t>
  </si>
  <si>
    <t>1243.85</t>
  </si>
  <si>
    <t>383048.10</t>
  </si>
  <si>
    <t>4881.18</t>
  </si>
  <si>
    <t>1228.44</t>
  </si>
  <si>
    <t>378151.47</t>
  </si>
  <si>
    <t>4896.64</t>
  </si>
  <si>
    <t>1212.99</t>
  </si>
  <si>
    <t>373239.33</t>
  </si>
  <si>
    <t>4912.14</t>
  </si>
  <si>
    <t>1197.48</t>
  </si>
  <si>
    <t>368311.63</t>
  </si>
  <si>
    <t>4927.70</t>
  </si>
  <si>
    <t>1181.92</t>
  </si>
  <si>
    <t>363368.33</t>
  </si>
  <si>
    <t>4943.30</t>
  </si>
  <si>
    <t>1166.32</t>
  </si>
  <si>
    <t>358409.37</t>
  </si>
  <si>
    <t>4958.95</t>
  </si>
  <si>
    <t>1150.67</t>
  </si>
  <si>
    <t>353434.72</t>
  </si>
  <si>
    <t>4974.66</t>
  </si>
  <si>
    <t>1134.96</t>
  </si>
  <si>
    <t>348444.31</t>
  </si>
  <si>
    <t>4990.41</t>
  </si>
  <si>
    <t>1119.21</t>
  </si>
  <si>
    <t>343438.09</t>
  </si>
  <si>
    <t>5006.21</t>
  </si>
  <si>
    <t>1103.41</t>
  </si>
  <si>
    <t>338416.02</t>
  </si>
  <si>
    <t>5022.07</t>
  </si>
  <si>
    <t>1087.55</t>
  </si>
  <si>
    <t>333378.05</t>
  </si>
  <si>
    <t>5037.97</t>
  </si>
  <si>
    <t>1071.65</t>
  </si>
  <si>
    <t>328324.13</t>
  </si>
  <si>
    <t>5053.92</t>
  </si>
  <si>
    <t>1055.70</t>
  </si>
  <si>
    <t>323254.20</t>
  </si>
  <si>
    <t>5069.93</t>
  </si>
  <si>
    <t>1039.69</t>
  </si>
  <si>
    <t>318168.22</t>
  </si>
  <si>
    <t>5085.98</t>
  </si>
  <si>
    <t>1023.64</t>
  </si>
  <si>
    <t>313066.13</t>
  </si>
  <si>
    <t>5102.09</t>
  </si>
  <si>
    <t>1007.53</t>
  </si>
  <si>
    <t>307947.89</t>
  </si>
  <si>
    <t>5118.25</t>
  </si>
  <si>
    <t>991.38</t>
  </si>
  <si>
    <t>302813.43</t>
  </si>
  <si>
    <t>5134.45</t>
  </si>
  <si>
    <t>975.17</t>
  </si>
  <si>
    <t>297662.72</t>
  </si>
  <si>
    <t>5150.71</t>
  </si>
  <si>
    <t>958.91</t>
  </si>
  <si>
    <t>292495.70</t>
  </si>
  <si>
    <t>5167.02</t>
  </si>
  <si>
    <t>942.60</t>
  </si>
  <si>
    <t>287312.31</t>
  </si>
  <si>
    <t>5183.38</t>
  </si>
  <si>
    <t>926.24</t>
  </si>
  <si>
    <t>282112.51</t>
  </si>
  <si>
    <t>5199.80</t>
  </si>
  <si>
    <t>909.82</t>
  </si>
  <si>
    <t>276896.25</t>
  </si>
  <si>
    <t>5216.26</t>
  </si>
  <si>
    <t>893.36</t>
  </si>
  <si>
    <t>271663.47</t>
  </si>
  <si>
    <t>5232.78</t>
  </si>
  <si>
    <t>876.84</t>
  </si>
  <si>
    <t>266414.11</t>
  </si>
  <si>
    <t>5249.35</t>
  </si>
  <si>
    <t>860.27</t>
  </si>
  <si>
    <t>261148.14</t>
  </si>
  <si>
    <t>5265.98</t>
  </si>
  <si>
    <t>843.64</t>
  </si>
  <si>
    <t>255865.48</t>
  </si>
  <si>
    <t>5282.65</t>
  </si>
  <si>
    <t>826.97</t>
  </si>
  <si>
    <t>250566.10</t>
  </si>
  <si>
    <t>5299.38</t>
  </si>
  <si>
    <t>810.24</t>
  </si>
  <si>
    <t>245249.94</t>
  </si>
  <si>
    <t>5316.16</t>
  </si>
  <si>
    <t>793.46</t>
  </si>
  <si>
    <t>239916.95</t>
  </si>
  <si>
    <t>5333.00</t>
  </si>
  <si>
    <t>776.62</t>
  </si>
  <si>
    <t>234567.06</t>
  </si>
  <si>
    <t>5349.88</t>
  </si>
  <si>
    <t>759.74</t>
  </si>
  <si>
    <t>229200.24</t>
  </si>
  <si>
    <t>5366.83</t>
  </si>
  <si>
    <t>742.80</t>
  </si>
  <si>
    <t>223816.42</t>
  </si>
  <si>
    <t>5383.82</t>
  </si>
  <si>
    <t>725.80</t>
  </si>
  <si>
    <t>218415.55</t>
  </si>
  <si>
    <t>5400.87</t>
  </si>
  <si>
    <t>708.75</t>
  </si>
  <si>
    <t>212997.58</t>
  </si>
  <si>
    <t>5417.97</t>
  </si>
  <si>
    <t>691.65</t>
  </si>
  <si>
    <t>207562.45</t>
  </si>
  <si>
    <t>5435.13</t>
  </si>
  <si>
    <t>674.49</t>
  </si>
  <si>
    <t>202110.11</t>
  </si>
  <si>
    <t>5452.34</t>
  </si>
  <si>
    <t>657.28</t>
  </si>
  <si>
    <t>196640.50</t>
  </si>
  <si>
    <t>5469.61</t>
  </si>
  <si>
    <t>640.02</t>
  </si>
  <si>
    <t>191153.57</t>
  </si>
  <si>
    <t>5486.93</t>
  </si>
  <si>
    <t>622.69</t>
  </si>
  <si>
    <t>185649.27</t>
  </si>
  <si>
    <t>5504.30</t>
  </si>
  <si>
    <t>605.32</t>
  </si>
  <si>
    <t>180127.54</t>
  </si>
  <si>
    <t>5521.73</t>
  </si>
  <si>
    <t>587.89</t>
  </si>
  <si>
    <t>174588.32</t>
  </si>
  <si>
    <t>5539.22</t>
  </si>
  <si>
    <t>570.40</t>
  </si>
  <si>
    <t>169031.57</t>
  </si>
  <si>
    <t>5556.76</t>
  </si>
  <si>
    <t>552.86</t>
  </si>
  <si>
    <t>163457.21</t>
  </si>
  <si>
    <t>5574.35</t>
  </si>
  <si>
    <t>535.27</t>
  </si>
  <si>
    <t>157865.21</t>
  </si>
  <si>
    <t>5592.01</t>
  </si>
  <si>
    <t>517.61</t>
  </si>
  <si>
    <t>152255.49</t>
  </si>
  <si>
    <t>5609.71</t>
  </si>
  <si>
    <t>499.91</t>
  </si>
  <si>
    <t>146628.01</t>
  </si>
  <si>
    <t>5627.48</t>
  </si>
  <si>
    <t>482.14</t>
  </si>
  <si>
    <t>140982.71</t>
  </si>
  <si>
    <t>5645.30</t>
  </si>
  <si>
    <t>464.32</t>
  </si>
  <si>
    <t>135319.54</t>
  </si>
  <si>
    <t>5663.18</t>
  </si>
  <si>
    <t>446.45</t>
  </si>
  <si>
    <t>129638.43</t>
  </si>
  <si>
    <t>5681.11</t>
  </si>
  <si>
    <t>428.51</t>
  </si>
  <si>
    <t>123939.33</t>
  </si>
  <si>
    <t>5699.10</t>
  </si>
  <si>
    <t>410.52</t>
  </si>
  <si>
    <t>118222.18</t>
  </si>
  <si>
    <t>5717.15</t>
  </si>
  <si>
    <t>392.47</t>
  </si>
  <si>
    <t>112486.93</t>
  </si>
  <si>
    <t>5735.25</t>
  </si>
  <si>
    <t>374.37</t>
  </si>
  <si>
    <t>106733.52</t>
  </si>
  <si>
    <t>5753.41</t>
  </si>
  <si>
    <t>356.21</t>
  </si>
  <si>
    <t>100961.89</t>
  </si>
  <si>
    <t>5771.63</t>
  </si>
  <si>
    <t>337.99</t>
  </si>
  <si>
    <t>95171.98</t>
  </si>
  <si>
    <t>5789.91</t>
  </si>
  <si>
    <t>319.71</t>
  </si>
  <si>
    <t>89363.73</t>
  </si>
  <si>
    <t>5808.24</t>
  </si>
  <si>
    <t>301.38</t>
  </si>
  <si>
    <t>83537.10</t>
  </si>
  <si>
    <t>5826.64</t>
  </si>
  <si>
    <t>282.99</t>
  </si>
  <si>
    <t>77692.01</t>
  </si>
  <si>
    <t>5845.09</t>
  </si>
  <si>
    <t>264.53</t>
  </si>
  <si>
    <t>71828.42</t>
  </si>
  <si>
    <t>5863.60</t>
  </si>
  <si>
    <t>246.02</t>
  </si>
  <si>
    <t>65946.25</t>
  </si>
  <si>
    <t>5882.16</t>
  </si>
  <si>
    <t>227.46</t>
  </si>
  <si>
    <t>60045.46</t>
  </si>
  <si>
    <t>5900.79</t>
  </si>
  <si>
    <t>208.83</t>
  </si>
  <si>
    <t>54125.98</t>
  </si>
  <si>
    <t>5919.48</t>
  </si>
  <si>
    <t>190.14</t>
  </si>
  <si>
    <t>48187.76</t>
  </si>
  <si>
    <t>5938.22</t>
  </si>
  <si>
    <t>171.40</t>
  </si>
  <si>
    <t>42230.73</t>
  </si>
  <si>
    <t>5957.03</t>
  </si>
  <si>
    <t>152.59</t>
  </si>
  <si>
    <t>36254.84</t>
  </si>
  <si>
    <t>5975.89</t>
  </si>
  <si>
    <t>133.73</t>
  </si>
  <si>
    <t>30260.03</t>
  </si>
  <si>
    <t>5994.81</t>
  </si>
  <si>
    <t>114.81</t>
  </si>
  <si>
    <t>24246.23</t>
  </si>
  <si>
    <t>6013.80</t>
  </si>
  <si>
    <t>95.82</t>
  </si>
  <si>
    <t>18213.39</t>
  </si>
  <si>
    <t>6032.84</t>
  </si>
  <si>
    <t>76.78</t>
  </si>
  <si>
    <t>12161.44</t>
  </si>
  <si>
    <t>6051.95</t>
  </si>
  <si>
    <t>57.68</t>
  </si>
  <si>
    <t>6090.34</t>
  </si>
  <si>
    <t>6071.11</t>
  </si>
  <si>
    <t>38.51</t>
  </si>
  <si>
    <t>0.00</t>
  </si>
  <si>
    <t>19.29</t>
  </si>
  <si>
    <t xml:space="preserve"> - Capital prêt</t>
  </si>
  <si>
    <t>Capacité d'autofinancement (prêt déduit)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</si>
</sst>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0" borderId="7" xfId="0" applyNumberFormat="1" applyFont="1" applyBorder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0" fillId="2" borderId="0" xfId="0" applyNumberFormat="1" applyFill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7" xfId="0" applyNumberFormat="1" applyBorder="1"/>
    <xf numFmtId="4" fontId="0" fillId="0" borderId="11" xfId="0" applyNumberFormat="1" applyBorder="1" applyAlignment="1">
      <alignment horizontal="right" wrapText="1"/>
    </xf>
    <xf numFmtId="4" fontId="0" fillId="2" borderId="11" xfId="0" applyNumberFormat="1" applyFill="1" applyBorder="1" applyAlignment="1">
      <alignment horizontal="right" wrapText="1"/>
    </xf>
    <xf numFmtId="4" fontId="0" fillId="0" borderId="12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9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14" xfId="0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9" fontId="0" fillId="0" borderId="0" xfId="0" applyNumberFormat="1" applyAlignment="1">
      <alignment horizontal="left"/>
    </xf>
    <xf numFmtId="3" fontId="0" fillId="2" borderId="13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" fontId="0" fillId="0" borderId="2" xfId="0" applyNumberFormat="1" applyBorder="1"/>
    <xf numFmtId="3" fontId="0" fillId="0" borderId="4" xfId="0" applyNumberFormat="1" applyBorder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22" xfId="0" applyBorder="1"/>
    <xf numFmtId="0" fontId="0" fillId="0" borderId="23" xfId="0" applyBorder="1"/>
    <xf numFmtId="3" fontId="0" fillId="0" borderId="27" xfId="0" applyNumberFormat="1" applyBorder="1"/>
    <xf numFmtId="3" fontId="0" fillId="3" borderId="13" xfId="0" applyNumberFormat="1" applyFill="1" applyBorder="1"/>
    <xf numFmtId="164" fontId="0" fillId="0" borderId="0" xfId="0" applyNumberFormat="1"/>
    <xf numFmtId="9" fontId="0" fillId="4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Fill="1" applyBorder="1" applyAlignment="1">
      <alignment horizontal="left"/>
    </xf>
    <xf numFmtId="6" fontId="0" fillId="0" borderId="0" xfId="0" applyNumberFormat="1"/>
    <xf numFmtId="0" fontId="3" fillId="0" borderId="0" xfId="0" applyFont="1"/>
    <xf numFmtId="3" fontId="0" fillId="0" borderId="11" xfId="0" applyNumberFormat="1" applyBorder="1"/>
    <xf numFmtId="9" fontId="0" fillId="0" borderId="11" xfId="0" applyNumberFormat="1" applyBorder="1"/>
    <xf numFmtId="3" fontId="0" fillId="0" borderId="12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1" fillId="0" borderId="0" xfId="0" applyNumberFormat="1" applyFont="1" applyFill="1"/>
    <xf numFmtId="0" fontId="4" fillId="0" borderId="0" xfId="0" applyFont="1"/>
    <xf numFmtId="3" fontId="4" fillId="0" borderId="0" xfId="0" applyNumberFormat="1" applyFont="1" applyFill="1"/>
    <xf numFmtId="6" fontId="1" fillId="0" borderId="0" xfId="0" applyNumberFormat="1" applyFont="1"/>
    <xf numFmtId="0" fontId="0" fillId="0" borderId="30" xfId="0" applyBorder="1" applyAlignment="1">
      <alignment horizontal="center"/>
    </xf>
    <xf numFmtId="4" fontId="0" fillId="0" borderId="31" xfId="0" applyNumberFormat="1" applyBorder="1" applyAlignment="1">
      <alignment horizontal="right" wrapText="1"/>
    </xf>
    <xf numFmtId="4" fontId="0" fillId="0" borderId="32" xfId="0" applyNumberFormat="1" applyBorder="1" applyAlignment="1">
      <alignment horizontal="right" wrapText="1"/>
    </xf>
    <xf numFmtId="4" fontId="0" fillId="0" borderId="32" xfId="0" applyNumberFormat="1" applyBorder="1" applyAlignment="1">
      <alignment horizontal="right"/>
    </xf>
    <xf numFmtId="4" fontId="0" fillId="0" borderId="33" xfId="0" applyNumberFormat="1" applyBorder="1" applyAlignment="1">
      <alignment horizontal="right"/>
    </xf>
    <xf numFmtId="0" fontId="0" fillId="0" borderId="34" xfId="0" applyBorder="1" applyAlignment="1">
      <alignment horizontal="center"/>
    </xf>
    <xf numFmtId="17" fontId="0" fillId="0" borderId="35" xfId="0" applyNumberFormat="1" applyBorder="1" applyAlignment="1">
      <alignment horizontal="center" wrapText="1"/>
    </xf>
    <xf numFmtId="17" fontId="0" fillId="0" borderId="22" xfId="0" applyNumberFormat="1" applyBorder="1" applyAlignment="1">
      <alignment horizont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4" fontId="0" fillId="0" borderId="28" xfId="0" applyNumberFormat="1" applyBorder="1"/>
    <xf numFmtId="1" fontId="0" fillId="0" borderId="28" xfId="0" applyNumberFormat="1" applyBorder="1"/>
    <xf numFmtId="1" fontId="0" fillId="0" borderId="29" xfId="0" applyNumberFormat="1" applyBorder="1"/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center" vertical="center" wrapText="1"/>
    </xf>
    <xf numFmtId="3" fontId="0" fillId="0" borderId="36" xfId="0" applyNumberFormat="1" applyBorder="1"/>
    <xf numFmtId="3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9" fontId="0" fillId="0" borderId="5" xfId="0" applyNumberFormat="1" applyBorder="1"/>
    <xf numFmtId="6" fontId="0" fillId="0" borderId="0" xfId="0" applyNumberFormat="1" applyFill="1"/>
    <xf numFmtId="10" fontId="0" fillId="0" borderId="0" xfId="0" applyNumberFormat="1"/>
    <xf numFmtId="0" fontId="9" fillId="0" borderId="0" xfId="0" applyFont="1"/>
    <xf numFmtId="0" fontId="0" fillId="2" borderId="21" xfId="0" applyFill="1" applyBorder="1"/>
    <xf numFmtId="0" fontId="0" fillId="2" borderId="26" xfId="0" applyFill="1" applyBorder="1"/>
    <xf numFmtId="14" fontId="0" fillId="2" borderId="26" xfId="0" applyNumberFormat="1" applyFill="1" applyBorder="1"/>
    <xf numFmtId="3" fontId="0" fillId="2" borderId="27" xfId="0" applyNumberFormat="1" applyFill="1" applyBorder="1"/>
    <xf numFmtId="3" fontId="0" fillId="2" borderId="10" xfId="0" applyNumberFormat="1" applyFill="1" applyBorder="1"/>
    <xf numFmtId="0" fontId="1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3"/>
  <sheetViews>
    <sheetView topLeftCell="B1" workbookViewId="0">
      <selection activeCell="M7" sqref="M7:M10"/>
    </sheetView>
  </sheetViews>
  <sheetFormatPr baseColWidth="10" defaultRowHeight="15" x14ac:dyDescent="0.25"/>
  <cols>
    <col min="1" max="1" width="9.5703125" customWidth="1"/>
    <col min="2" max="2" width="16.42578125" customWidth="1"/>
    <col min="3" max="3" width="16.28515625" customWidth="1"/>
    <col min="4" max="5" width="13.5703125" customWidth="1"/>
    <col min="6" max="6" width="17" bestFit="1" customWidth="1"/>
    <col min="7" max="7" width="14.85546875" customWidth="1"/>
    <col min="8" max="9" width="13.5703125" customWidth="1"/>
    <col min="10" max="10" width="13" customWidth="1"/>
    <col min="12" max="12" width="10.28515625" customWidth="1"/>
    <col min="13" max="13" width="15.42578125" bestFit="1" customWidth="1"/>
    <col min="15" max="15" width="8.5703125" customWidth="1"/>
    <col min="16" max="16" width="13.28515625" customWidth="1"/>
    <col min="17" max="17" width="9.140625" customWidth="1"/>
    <col min="18" max="18" width="14.28515625" customWidth="1"/>
  </cols>
  <sheetData>
    <row r="1" spans="1:18" ht="15.75" thickBot="1" x14ac:dyDescent="0.3"/>
    <row r="2" spans="1:18" s="34" customFormat="1" ht="42.75" customHeight="1" thickBot="1" x14ac:dyDescent="0.3">
      <c r="A2" s="32" t="s">
        <v>36</v>
      </c>
      <c r="B2" s="36" t="s">
        <v>30</v>
      </c>
      <c r="C2" s="37" t="s">
        <v>61</v>
      </c>
      <c r="D2" s="47" t="s">
        <v>62</v>
      </c>
      <c r="E2" s="47" t="s">
        <v>63</v>
      </c>
      <c r="F2" s="47" t="s">
        <v>69</v>
      </c>
      <c r="G2" s="47" t="s">
        <v>43</v>
      </c>
      <c r="H2" s="37" t="s">
        <v>44</v>
      </c>
      <c r="I2" s="48" t="s">
        <v>42</v>
      </c>
      <c r="J2" s="32" t="s">
        <v>31</v>
      </c>
      <c r="K2" s="33" t="s">
        <v>33</v>
      </c>
      <c r="L2" s="33" t="s">
        <v>32</v>
      </c>
      <c r="M2" s="36" t="s">
        <v>34</v>
      </c>
      <c r="N2" s="37" t="s">
        <v>35</v>
      </c>
      <c r="O2" s="32" t="s">
        <v>37</v>
      </c>
      <c r="P2" s="37" t="s">
        <v>38</v>
      </c>
      <c r="Q2" s="32" t="s">
        <v>40</v>
      </c>
      <c r="R2" s="37" t="s">
        <v>41</v>
      </c>
    </row>
    <row r="3" spans="1:18" x14ac:dyDescent="0.25">
      <c r="A3" s="31">
        <v>1</v>
      </c>
      <c r="B3" s="42" t="s">
        <v>29</v>
      </c>
      <c r="C3" s="97" t="s">
        <v>99</v>
      </c>
      <c r="D3" s="98"/>
      <c r="E3" s="99"/>
      <c r="F3" s="99" t="s">
        <v>100</v>
      </c>
      <c r="G3" s="98"/>
      <c r="H3" s="97"/>
      <c r="I3" s="100">
        <f>H3*G3*A3</f>
        <v>0</v>
      </c>
      <c r="J3" s="101">
        <v>2000</v>
      </c>
      <c r="K3" s="61">
        <f>J3*12</f>
        <v>24000</v>
      </c>
      <c r="L3" s="62">
        <v>0.35</v>
      </c>
      <c r="M3" s="63">
        <f>K3*L3</f>
        <v>8400</v>
      </c>
      <c r="N3" s="38">
        <f>(M3+K3)*A3</f>
        <v>32400</v>
      </c>
      <c r="O3" s="87">
        <v>1</v>
      </c>
      <c r="P3" s="38">
        <f>N3*1.02</f>
        <v>33048</v>
      </c>
      <c r="Q3" s="90">
        <v>1</v>
      </c>
      <c r="R3" s="38">
        <f t="shared" ref="R3:R15" si="0">Q3*P3*(1+$R$19)</f>
        <v>33378.480000000003</v>
      </c>
    </row>
    <row r="4" spans="1:18" x14ac:dyDescent="0.25">
      <c r="A4" s="29">
        <v>1</v>
      </c>
      <c r="B4" s="43" t="s">
        <v>29</v>
      </c>
      <c r="C4" s="51"/>
      <c r="D4" s="49"/>
      <c r="E4" s="80"/>
      <c r="F4" s="80"/>
      <c r="G4" s="81"/>
      <c r="H4" s="51"/>
      <c r="I4" s="53">
        <f>H4*G4*A4</f>
        <v>0</v>
      </c>
      <c r="J4" s="45"/>
      <c r="K4" s="35">
        <f>J4*12</f>
        <v>0</v>
      </c>
      <c r="L4" s="28">
        <v>0.22</v>
      </c>
      <c r="M4" s="64">
        <f t="shared" ref="M4" si="1">K4*L4</f>
        <v>0</v>
      </c>
      <c r="N4" s="39">
        <f>(M4+K4)*A4</f>
        <v>0</v>
      </c>
      <c r="O4" s="88">
        <v>1</v>
      </c>
      <c r="P4" s="38">
        <f t="shared" ref="P4:P13" si="2">O4*N4*(1+$P$18)</f>
        <v>0</v>
      </c>
      <c r="Q4" s="91">
        <v>1</v>
      </c>
      <c r="R4" s="38">
        <f t="shared" si="0"/>
        <v>0</v>
      </c>
    </row>
    <row r="5" spans="1:18" x14ac:dyDescent="0.25">
      <c r="A5" s="29">
        <v>1</v>
      </c>
      <c r="B5" s="43" t="s">
        <v>29</v>
      </c>
      <c r="C5" s="51" t="s">
        <v>74</v>
      </c>
      <c r="D5" s="49">
        <v>1968</v>
      </c>
      <c r="E5" s="80">
        <v>43344</v>
      </c>
      <c r="F5" s="80" t="s">
        <v>75</v>
      </c>
      <c r="G5" s="81"/>
      <c r="H5" s="51"/>
      <c r="I5" s="53">
        <f>H5*G5*A5</f>
        <v>0</v>
      </c>
      <c r="J5" s="45">
        <v>3100</v>
      </c>
      <c r="K5" s="35">
        <f>J5*12</f>
        <v>37200</v>
      </c>
      <c r="L5" s="28">
        <v>0.35</v>
      </c>
      <c r="M5" s="64">
        <f t="shared" ref="M5" si="3">K5*L5</f>
        <v>13020</v>
      </c>
      <c r="N5" s="39">
        <f>(M5+K5)*A5</f>
        <v>50220</v>
      </c>
      <c r="O5" s="88">
        <v>1</v>
      </c>
      <c r="P5" s="38">
        <f t="shared" ref="P5" si="4">O5*N5*(1+$P$18)</f>
        <v>50722.2</v>
      </c>
      <c r="Q5" s="91">
        <v>1</v>
      </c>
      <c r="R5" s="38">
        <f t="shared" ref="R5" si="5">Q5*P5*(1+$R$19)</f>
        <v>51229.421999999999</v>
      </c>
    </row>
    <row r="6" spans="1:18" x14ac:dyDescent="0.25">
      <c r="A6" s="29">
        <v>1</v>
      </c>
      <c r="B6" s="43" t="s">
        <v>29</v>
      </c>
      <c r="C6" s="51" t="s">
        <v>77</v>
      </c>
      <c r="D6" s="49">
        <v>1970</v>
      </c>
      <c r="E6" s="80">
        <v>43344</v>
      </c>
      <c r="F6" s="80" t="s">
        <v>76</v>
      </c>
      <c r="G6" s="81"/>
      <c r="H6" s="51"/>
      <c r="I6" s="53">
        <f t="shared" ref="I6:I15" si="6">H6*G6*A6</f>
        <v>0</v>
      </c>
      <c r="J6" s="45">
        <v>3100</v>
      </c>
      <c r="K6" s="35">
        <f>J6*12</f>
        <v>37200</v>
      </c>
      <c r="L6" s="28">
        <v>0.35</v>
      </c>
      <c r="M6" s="64">
        <f t="shared" ref="M6" si="7">K6*L6</f>
        <v>13020</v>
      </c>
      <c r="N6" s="39">
        <f>(M6+K6)*A6</f>
        <v>50220</v>
      </c>
      <c r="O6" s="88">
        <v>1</v>
      </c>
      <c r="P6" s="38">
        <f t="shared" si="2"/>
        <v>50722.2</v>
      </c>
      <c r="Q6" s="91">
        <v>1</v>
      </c>
      <c r="R6" s="38">
        <f t="shared" si="0"/>
        <v>51229.421999999999</v>
      </c>
    </row>
    <row r="7" spans="1:18" x14ac:dyDescent="0.25">
      <c r="A7" s="29">
        <v>1</v>
      </c>
      <c r="B7" s="43" t="s">
        <v>29</v>
      </c>
      <c r="C7" s="51" t="s">
        <v>81</v>
      </c>
      <c r="D7" s="49">
        <v>1997</v>
      </c>
      <c r="E7" s="80">
        <v>45300</v>
      </c>
      <c r="F7" s="80" t="s">
        <v>78</v>
      </c>
      <c r="G7" s="81"/>
      <c r="H7" s="51"/>
      <c r="I7" s="53">
        <f>H7*G7*A7</f>
        <v>0</v>
      </c>
      <c r="J7" s="45">
        <f>2400+342.78</f>
        <v>2742.7799999999997</v>
      </c>
      <c r="K7" s="35">
        <f>J7*12</f>
        <v>32913.360000000001</v>
      </c>
      <c r="L7" s="28">
        <v>0.28000000000000003</v>
      </c>
      <c r="M7" s="64">
        <f t="shared" ref="M7" si="8">K7*L7</f>
        <v>9215.7408000000014</v>
      </c>
      <c r="N7" s="39">
        <f>(M7+K7)*A7</f>
        <v>42129.1008</v>
      </c>
      <c r="O7" s="88">
        <v>1</v>
      </c>
      <c r="P7" s="38">
        <f t="shared" si="2"/>
        <v>42550.391808</v>
      </c>
      <c r="Q7" s="91">
        <v>1</v>
      </c>
      <c r="R7" s="38">
        <f t="shared" si="0"/>
        <v>42975.895726080002</v>
      </c>
    </row>
    <row r="8" spans="1:18" x14ac:dyDescent="0.25">
      <c r="A8" s="29">
        <v>1</v>
      </c>
      <c r="B8" s="43" t="s">
        <v>29</v>
      </c>
      <c r="C8" s="51" t="s">
        <v>84</v>
      </c>
      <c r="D8" s="49">
        <v>1984</v>
      </c>
      <c r="E8" s="80">
        <v>44585</v>
      </c>
      <c r="F8" s="80" t="s">
        <v>78</v>
      </c>
      <c r="G8" s="81"/>
      <c r="H8" s="51"/>
      <c r="I8" s="53">
        <f t="shared" ref="I8:I10" si="9">H8*G8*A8</f>
        <v>0</v>
      </c>
      <c r="J8" s="45">
        <f>2400+342.78</f>
        <v>2742.7799999999997</v>
      </c>
      <c r="K8" s="35">
        <f t="shared" ref="K8:K15" si="10">J8*12</f>
        <v>32913.360000000001</v>
      </c>
      <c r="L8" s="28">
        <v>0.28000000000000003</v>
      </c>
      <c r="M8" s="64">
        <f t="shared" ref="M8:M10" si="11">K8*L8</f>
        <v>9215.7408000000014</v>
      </c>
      <c r="N8" s="39">
        <f t="shared" ref="N8:N10" si="12">(M8+K8)*A8</f>
        <v>42129.1008</v>
      </c>
      <c r="O8" s="88">
        <v>1</v>
      </c>
      <c r="P8" s="38">
        <f t="shared" si="2"/>
        <v>42550.391808</v>
      </c>
      <c r="Q8" s="91">
        <v>1</v>
      </c>
      <c r="R8" s="38">
        <f t="shared" si="0"/>
        <v>42975.895726080002</v>
      </c>
    </row>
    <row r="9" spans="1:18" x14ac:dyDescent="0.25">
      <c r="A9" s="29">
        <v>1</v>
      </c>
      <c r="B9" s="43" t="s">
        <v>29</v>
      </c>
      <c r="C9" s="51" t="s">
        <v>109</v>
      </c>
      <c r="D9" s="49"/>
      <c r="E9" s="80"/>
      <c r="F9" s="80" t="s">
        <v>78</v>
      </c>
      <c r="G9" s="81"/>
      <c r="H9" s="51"/>
      <c r="I9" s="53">
        <f t="shared" si="9"/>
        <v>0</v>
      </c>
      <c r="J9" s="45">
        <v>2500</v>
      </c>
      <c r="K9" s="35">
        <f t="shared" si="10"/>
        <v>30000</v>
      </c>
      <c r="L9" s="28">
        <v>0.26</v>
      </c>
      <c r="M9" s="64">
        <f t="shared" si="11"/>
        <v>7800</v>
      </c>
      <c r="N9" s="39">
        <f t="shared" si="12"/>
        <v>37800</v>
      </c>
      <c r="O9" s="88">
        <v>1</v>
      </c>
      <c r="P9" s="38">
        <f t="shared" si="2"/>
        <v>38178</v>
      </c>
      <c r="Q9" s="91">
        <v>1</v>
      </c>
      <c r="R9" s="38">
        <f t="shared" si="0"/>
        <v>38559.78</v>
      </c>
    </row>
    <row r="10" spans="1:18" x14ac:dyDescent="0.25">
      <c r="A10" s="29">
        <v>0.5</v>
      </c>
      <c r="B10" s="43" t="s">
        <v>29</v>
      </c>
      <c r="C10" s="51" t="s">
        <v>109</v>
      </c>
      <c r="D10" s="49"/>
      <c r="E10" s="80"/>
      <c r="F10" s="80" t="s">
        <v>78</v>
      </c>
      <c r="G10" s="81"/>
      <c r="H10" s="51"/>
      <c r="I10" s="53">
        <f t="shared" si="9"/>
        <v>0</v>
      </c>
      <c r="J10" s="45">
        <v>2500</v>
      </c>
      <c r="K10" s="35">
        <f t="shared" si="10"/>
        <v>30000</v>
      </c>
      <c r="L10" s="28">
        <v>0.26</v>
      </c>
      <c r="M10" s="64">
        <f t="shared" si="11"/>
        <v>7800</v>
      </c>
      <c r="N10" s="39">
        <f t="shared" si="12"/>
        <v>18900</v>
      </c>
      <c r="O10" s="88">
        <v>1</v>
      </c>
      <c r="P10" s="38">
        <f>P9</f>
        <v>38178</v>
      </c>
      <c r="Q10" s="91">
        <v>1</v>
      </c>
      <c r="R10" s="38">
        <f t="shared" si="0"/>
        <v>38559.78</v>
      </c>
    </row>
    <row r="11" spans="1:18" x14ac:dyDescent="0.25">
      <c r="A11" s="29">
        <v>1</v>
      </c>
      <c r="B11" s="43" t="s">
        <v>29</v>
      </c>
      <c r="C11" s="51"/>
      <c r="D11" s="49"/>
      <c r="E11" s="80"/>
      <c r="F11" s="80"/>
      <c r="G11" s="81"/>
      <c r="H11" s="51"/>
      <c r="I11" s="53">
        <f t="shared" ref="I11:I14" si="13">H11*G11*A11</f>
        <v>0</v>
      </c>
      <c r="J11" s="45"/>
      <c r="K11" s="35">
        <f t="shared" si="10"/>
        <v>0</v>
      </c>
      <c r="L11" s="28"/>
      <c r="M11" s="64">
        <f t="shared" ref="M11:M15" si="14">K11*L11</f>
        <v>0</v>
      </c>
      <c r="N11" s="39">
        <f t="shared" ref="N11:N14" si="15">(M11+K11)*A11</f>
        <v>0</v>
      </c>
      <c r="O11" s="88">
        <v>1</v>
      </c>
      <c r="P11" s="38">
        <f t="shared" si="2"/>
        <v>0</v>
      </c>
      <c r="Q11" s="91">
        <v>1</v>
      </c>
      <c r="R11" s="38">
        <f t="shared" si="0"/>
        <v>0</v>
      </c>
    </row>
    <row r="12" spans="1:18" x14ac:dyDescent="0.25">
      <c r="A12" s="29">
        <v>1</v>
      </c>
      <c r="B12" s="43" t="s">
        <v>29</v>
      </c>
      <c r="C12" s="51"/>
      <c r="D12" s="49"/>
      <c r="E12" s="80"/>
      <c r="F12" s="80"/>
      <c r="G12" s="81"/>
      <c r="H12" s="51"/>
      <c r="I12" s="53">
        <f t="shared" si="13"/>
        <v>0</v>
      </c>
      <c r="J12" s="45"/>
      <c r="K12" s="35">
        <f t="shared" si="10"/>
        <v>0</v>
      </c>
      <c r="L12" s="28"/>
      <c r="M12" s="64">
        <f t="shared" si="14"/>
        <v>0</v>
      </c>
      <c r="N12" s="39">
        <f t="shared" si="15"/>
        <v>0</v>
      </c>
      <c r="O12" s="88">
        <v>1</v>
      </c>
      <c r="P12" s="38">
        <f t="shared" si="2"/>
        <v>0</v>
      </c>
      <c r="Q12" s="91">
        <v>1</v>
      </c>
      <c r="R12" s="38">
        <f t="shared" si="0"/>
        <v>0</v>
      </c>
    </row>
    <row r="13" spans="1:18" x14ac:dyDescent="0.25">
      <c r="A13" s="29">
        <v>0.67</v>
      </c>
      <c r="B13" s="43" t="s">
        <v>82</v>
      </c>
      <c r="C13" s="51" t="s">
        <v>83</v>
      </c>
      <c r="D13" s="49">
        <v>2006</v>
      </c>
      <c r="E13" s="80">
        <v>45538</v>
      </c>
      <c r="F13" s="80" t="s">
        <v>82</v>
      </c>
      <c r="G13" s="81"/>
      <c r="H13" s="51"/>
      <c r="I13" s="53">
        <f>H13*G13*A13</f>
        <v>0</v>
      </c>
      <c r="J13" s="45">
        <v>1207.23</v>
      </c>
      <c r="K13" s="35">
        <f>J13*12</f>
        <v>14486.76</v>
      </c>
      <c r="L13" s="28">
        <v>0.03</v>
      </c>
      <c r="M13" s="64">
        <f t="shared" si="14"/>
        <v>434.6028</v>
      </c>
      <c r="N13" s="39">
        <f>(M13+K13)*A13</f>
        <v>9997.3130760000004</v>
      </c>
      <c r="O13" s="88">
        <v>0</v>
      </c>
      <c r="P13" s="38">
        <f t="shared" si="2"/>
        <v>0</v>
      </c>
      <c r="Q13" s="91">
        <v>1</v>
      </c>
      <c r="R13" s="38">
        <f t="shared" si="0"/>
        <v>0</v>
      </c>
    </row>
    <row r="14" spans="1:18" x14ac:dyDescent="0.25">
      <c r="A14" s="29">
        <v>1</v>
      </c>
      <c r="B14" s="43" t="s">
        <v>73</v>
      </c>
      <c r="C14" s="51"/>
      <c r="D14" s="49"/>
      <c r="E14" s="80"/>
      <c r="F14" s="80"/>
      <c r="G14" s="81"/>
      <c r="H14" s="51"/>
      <c r="I14" s="53">
        <f t="shared" si="13"/>
        <v>0</v>
      </c>
      <c r="J14" s="45"/>
      <c r="K14" s="35">
        <f t="shared" si="10"/>
        <v>0</v>
      </c>
      <c r="L14" s="28">
        <v>0.03</v>
      </c>
      <c r="M14" s="64">
        <f t="shared" si="14"/>
        <v>0</v>
      </c>
      <c r="N14" s="39">
        <f t="shared" si="15"/>
        <v>0</v>
      </c>
      <c r="O14" s="88">
        <v>1</v>
      </c>
      <c r="P14" s="38">
        <f>N15*1.02</f>
        <v>0</v>
      </c>
      <c r="Q14" s="91">
        <v>1</v>
      </c>
      <c r="R14" s="38">
        <f t="shared" si="0"/>
        <v>0</v>
      </c>
    </row>
    <row r="15" spans="1:18" ht="15.75" thickBot="1" x14ac:dyDescent="0.3">
      <c r="A15" s="30">
        <v>1</v>
      </c>
      <c r="B15" s="44" t="s">
        <v>73</v>
      </c>
      <c r="C15" s="52"/>
      <c r="D15" s="50"/>
      <c r="E15" s="50"/>
      <c r="F15" s="50"/>
      <c r="G15" s="82"/>
      <c r="H15" s="52"/>
      <c r="I15" s="53">
        <f t="shared" si="6"/>
        <v>0</v>
      </c>
      <c r="J15" s="46"/>
      <c r="K15" s="85">
        <f t="shared" si="10"/>
        <v>0</v>
      </c>
      <c r="L15" s="93">
        <v>0.03</v>
      </c>
      <c r="M15" s="65">
        <f t="shared" si="14"/>
        <v>0</v>
      </c>
      <c r="N15" s="39">
        <f>K15+M15</f>
        <v>0</v>
      </c>
      <c r="O15" s="89">
        <v>0</v>
      </c>
      <c r="P15" s="38">
        <v>0</v>
      </c>
      <c r="Q15" s="92">
        <v>0</v>
      </c>
      <c r="R15" s="38">
        <f t="shared" si="0"/>
        <v>0</v>
      </c>
    </row>
    <row r="16" spans="1:18" ht="15.75" thickBot="1" x14ac:dyDescent="0.3">
      <c r="I16" s="54">
        <f>SUM(I3:I15)</f>
        <v>0</v>
      </c>
      <c r="K16" s="86">
        <f>SUM(K3:K15)</f>
        <v>238713.47999999998</v>
      </c>
      <c r="N16" s="41">
        <f>SUM(N3:N15)</f>
        <v>283795.51467600005</v>
      </c>
      <c r="P16" s="41">
        <f>SUM(P3:P15)</f>
        <v>295949.18361599999</v>
      </c>
      <c r="R16" s="41">
        <f>SUM(R3:R15)</f>
        <v>298908.67545215995</v>
      </c>
    </row>
    <row r="18" spans="2:18" x14ac:dyDescent="0.25">
      <c r="O18" s="8" t="s">
        <v>39</v>
      </c>
      <c r="P18" s="40">
        <v>0.01</v>
      </c>
    </row>
    <row r="19" spans="2:18" x14ac:dyDescent="0.25">
      <c r="Q19" s="8" t="s">
        <v>39</v>
      </c>
      <c r="R19" s="40">
        <v>0.01</v>
      </c>
    </row>
    <row r="20" spans="2:18" x14ac:dyDescent="0.25">
      <c r="B20" s="96" t="s">
        <v>79</v>
      </c>
    </row>
    <row r="21" spans="2:18" x14ac:dyDescent="0.25">
      <c r="B21" t="s">
        <v>80</v>
      </c>
      <c r="C21" t="s">
        <v>86</v>
      </c>
    </row>
    <row r="22" spans="2:18" x14ac:dyDescent="0.25">
      <c r="B22" t="s">
        <v>85</v>
      </c>
      <c r="C22" t="s">
        <v>86</v>
      </c>
    </row>
    <row r="23" spans="2:18" x14ac:dyDescent="0.25">
      <c r="B23" t="s">
        <v>89</v>
      </c>
      <c r="C23" t="s">
        <v>86</v>
      </c>
    </row>
    <row r="24" spans="2:18" x14ac:dyDescent="0.25">
      <c r="B24" t="s">
        <v>93</v>
      </c>
    </row>
    <row r="25" spans="2:18" x14ac:dyDescent="0.25">
      <c r="B25" t="s">
        <v>94</v>
      </c>
    </row>
    <row r="27" spans="2:18" x14ac:dyDescent="0.25">
      <c r="B27" t="s">
        <v>87</v>
      </c>
    </row>
    <row r="28" spans="2:18" x14ac:dyDescent="0.25">
      <c r="B28" t="s">
        <v>88</v>
      </c>
    </row>
    <row r="29" spans="2:18" x14ac:dyDescent="0.25">
      <c r="B29" t="s">
        <v>90</v>
      </c>
    </row>
    <row r="31" spans="2:18" x14ac:dyDescent="0.25">
      <c r="B31" t="s">
        <v>91</v>
      </c>
    </row>
    <row r="33" spans="2:31" x14ac:dyDescent="0.25">
      <c r="B33" t="s">
        <v>92</v>
      </c>
      <c r="AE33" t="e">
        <f>#REF!*3</f>
        <v>#REF!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tabSelected="1" topLeftCell="A39" zoomScaleNormal="100" workbookViewId="0">
      <selection activeCell="D65" sqref="D65"/>
    </sheetView>
  </sheetViews>
  <sheetFormatPr baseColWidth="10" defaultRowHeight="15" x14ac:dyDescent="0.25"/>
  <cols>
    <col min="1" max="1" width="13.28515625" customWidth="1"/>
    <col min="2" max="2" width="10" customWidth="1"/>
    <col min="3" max="3" width="34.5703125" customWidth="1"/>
    <col min="4" max="4" width="12.28515625" style="2" bestFit="1" customWidth="1"/>
    <col min="5" max="7" width="11.42578125" style="2"/>
  </cols>
  <sheetData>
    <row r="1" spans="1:7" s="5" customFormat="1" ht="18.75" x14ac:dyDescent="0.3">
      <c r="A1" s="5" t="s">
        <v>59</v>
      </c>
      <c r="D1" s="6"/>
      <c r="E1" s="56">
        <v>7.0000000000000007E-2</v>
      </c>
      <c r="F1" s="56">
        <v>7.0000000000000007E-2</v>
      </c>
      <c r="G1" s="6"/>
    </row>
    <row r="2" spans="1:7" s="78" customFormat="1" ht="12.75" x14ac:dyDescent="0.2">
      <c r="G2" s="79"/>
    </row>
    <row r="3" spans="1:7" ht="15.75" x14ac:dyDescent="0.25">
      <c r="D3" s="103">
        <v>2026</v>
      </c>
      <c r="E3" s="103">
        <v>2027</v>
      </c>
      <c r="F3" s="103">
        <v>2028</v>
      </c>
    </row>
    <row r="4" spans="1:7" x14ac:dyDescent="0.25">
      <c r="C4" s="1" t="s">
        <v>15</v>
      </c>
      <c r="D4" s="3">
        <f>D6/12</f>
        <v>60320</v>
      </c>
      <c r="E4" s="3">
        <f>E6/12</f>
        <v>64481.200000000004</v>
      </c>
      <c r="F4" s="3">
        <f>F6/12</f>
        <v>68933.072</v>
      </c>
    </row>
    <row r="5" spans="1:7" ht="8.25" customHeight="1" x14ac:dyDescent="0.25"/>
    <row r="6" spans="1:7" x14ac:dyDescent="0.25">
      <c r="C6" s="1" t="s">
        <v>9</v>
      </c>
      <c r="D6" s="3">
        <f>SUM(D8:D11)*1.2</f>
        <v>723840</v>
      </c>
      <c r="E6" s="3">
        <f t="shared" ref="E6:F6" si="0">SUM(E8:E11)*1.2</f>
        <v>773774.4</v>
      </c>
      <c r="F6" s="3">
        <f t="shared" si="0"/>
        <v>827196.86399999994</v>
      </c>
    </row>
    <row r="7" spans="1:7" ht="9.75" customHeight="1" x14ac:dyDescent="0.25"/>
    <row r="8" spans="1:7" x14ac:dyDescent="0.25">
      <c r="C8" s="1" t="s">
        <v>104</v>
      </c>
      <c r="D8" s="3">
        <v>350000</v>
      </c>
      <c r="E8" s="3">
        <f>D8*(1+$E$1)</f>
        <v>374500</v>
      </c>
      <c r="F8" s="3">
        <f>E8*(1+$F$1)</f>
        <v>400715</v>
      </c>
    </row>
    <row r="9" spans="1:7" x14ac:dyDescent="0.25">
      <c r="C9" s="1" t="s">
        <v>105</v>
      </c>
      <c r="D9" s="3">
        <v>200000</v>
      </c>
      <c r="E9" s="3">
        <f>D9*(1+$E$1)</f>
        <v>214000</v>
      </c>
      <c r="F9" s="3">
        <f>E9*(1+$F$1)</f>
        <v>228980</v>
      </c>
    </row>
    <row r="10" spans="1:7" x14ac:dyDescent="0.25">
      <c r="C10" s="1" t="s">
        <v>106</v>
      </c>
      <c r="D10" s="3">
        <v>43000</v>
      </c>
      <c r="E10" s="3">
        <f>D10*(1+$E$1)</f>
        <v>46010</v>
      </c>
      <c r="F10" s="3">
        <f>E10*(1+$F$1)</f>
        <v>49230.700000000004</v>
      </c>
    </row>
    <row r="11" spans="1:7" x14ac:dyDescent="0.25">
      <c r="C11" s="1" t="s">
        <v>107</v>
      </c>
      <c r="D11" s="3">
        <f>850*12</f>
        <v>10200</v>
      </c>
      <c r="E11" s="3">
        <f>D11*1.01</f>
        <v>10302</v>
      </c>
      <c r="F11" s="3">
        <f>E11*1.01</f>
        <v>10405.02</v>
      </c>
    </row>
    <row r="12" spans="1:7" ht="8.25" customHeight="1" x14ac:dyDescent="0.25">
      <c r="C12" s="1"/>
      <c r="D12" s="3"/>
      <c r="E12" s="3"/>
      <c r="F12" s="3"/>
    </row>
    <row r="13" spans="1:7" x14ac:dyDescent="0.25">
      <c r="C13" s="1" t="s">
        <v>116</v>
      </c>
      <c r="D13" s="3">
        <f>D8*0.08</f>
        <v>28000</v>
      </c>
      <c r="E13" s="3">
        <f t="shared" ref="E13:F13" si="1">E8*0.08</f>
        <v>29960</v>
      </c>
      <c r="F13" s="3">
        <f t="shared" si="1"/>
        <v>32057.200000000001</v>
      </c>
    </row>
    <row r="14" spans="1:7" x14ac:dyDescent="0.25">
      <c r="C14" s="1" t="s">
        <v>108</v>
      </c>
      <c r="D14" s="3">
        <f>D9/2</f>
        <v>100000</v>
      </c>
      <c r="E14" s="3">
        <f t="shared" ref="E14:F14" si="2">E9/2</f>
        <v>107000</v>
      </c>
      <c r="F14" s="3">
        <f t="shared" si="2"/>
        <v>114490</v>
      </c>
    </row>
    <row r="15" spans="1:7" ht="9.75" customHeight="1" x14ac:dyDescent="0.25"/>
    <row r="16" spans="1:7" x14ac:dyDescent="0.25">
      <c r="C16" s="1" t="s">
        <v>2</v>
      </c>
      <c r="D16" s="4">
        <f>D8+D9+D10+D11-D13-D14</f>
        <v>475200</v>
      </c>
      <c r="E16" s="4">
        <f t="shared" ref="E16:F16" si="3">E8+E9+E10+E11-E13-E14</f>
        <v>507852</v>
      </c>
      <c r="F16" s="4">
        <f t="shared" si="3"/>
        <v>542783.52</v>
      </c>
    </row>
    <row r="17" spans="3:6" ht="10.5" customHeight="1" x14ac:dyDescent="0.25">
      <c r="C17" s="1"/>
      <c r="D17" s="3"/>
      <c r="E17" s="3"/>
      <c r="F17" s="3"/>
    </row>
    <row r="18" spans="3:6" x14ac:dyDescent="0.25">
      <c r="C18" s="15" t="s">
        <v>3</v>
      </c>
      <c r="D18" s="16">
        <v>2500</v>
      </c>
      <c r="E18" s="16">
        <v>2600</v>
      </c>
      <c r="F18" s="16">
        <v>2700</v>
      </c>
    </row>
    <row r="19" spans="3:6" x14ac:dyDescent="0.25">
      <c r="C19" s="15" t="s">
        <v>48</v>
      </c>
      <c r="D19" s="16">
        <v>2500</v>
      </c>
      <c r="E19" s="16">
        <v>2000</v>
      </c>
      <c r="F19" s="16">
        <v>2000</v>
      </c>
    </row>
    <row r="20" spans="3:6" x14ac:dyDescent="0.25">
      <c r="C20" s="15" t="s">
        <v>66</v>
      </c>
      <c r="D20" s="16">
        <v>30000</v>
      </c>
      <c r="E20" s="16">
        <f>D20*1.02</f>
        <v>30600</v>
      </c>
      <c r="F20" s="16">
        <f>E20*1.02</f>
        <v>31212</v>
      </c>
    </row>
    <row r="21" spans="3:6" x14ac:dyDescent="0.25">
      <c r="C21" s="15" t="s">
        <v>65</v>
      </c>
      <c r="D21" s="16">
        <v>1800</v>
      </c>
      <c r="E21" s="16">
        <f t="shared" ref="E21:F21" si="4">D21*1.01</f>
        <v>1818</v>
      </c>
      <c r="F21" s="16">
        <f t="shared" si="4"/>
        <v>1836.18</v>
      </c>
    </row>
    <row r="22" spans="3:6" x14ac:dyDescent="0.25">
      <c r="C22" s="15" t="s">
        <v>111</v>
      </c>
      <c r="D22" s="16">
        <f>47*12</f>
        <v>564</v>
      </c>
      <c r="E22" s="16">
        <f t="shared" ref="E22:F22" si="5">47*12</f>
        <v>564</v>
      </c>
      <c r="F22" s="16">
        <f t="shared" si="5"/>
        <v>564</v>
      </c>
    </row>
    <row r="23" spans="3:6" x14ac:dyDescent="0.25">
      <c r="C23" s="15" t="s">
        <v>67</v>
      </c>
      <c r="D23" s="16">
        <v>1500</v>
      </c>
      <c r="E23" s="16">
        <v>1500</v>
      </c>
      <c r="F23" s="16">
        <v>1500</v>
      </c>
    </row>
    <row r="24" spans="3:6" x14ac:dyDescent="0.25">
      <c r="C24" s="15" t="s">
        <v>4</v>
      </c>
      <c r="D24" s="16">
        <v>1300</v>
      </c>
      <c r="E24" s="16">
        <f>D24*1.02</f>
        <v>1326</v>
      </c>
      <c r="F24" s="16">
        <f>E24*1.02</f>
        <v>1352.52</v>
      </c>
    </row>
    <row r="25" spans="3:6" x14ac:dyDescent="0.25">
      <c r="C25" s="15" t="s">
        <v>47</v>
      </c>
      <c r="D25" s="16">
        <f>650*12+240</f>
        <v>8040</v>
      </c>
      <c r="E25" s="16">
        <f>D25*1.02</f>
        <v>8200.7999999999993</v>
      </c>
      <c r="F25" s="16">
        <f>E25*1.02</f>
        <v>8364.8159999999989</v>
      </c>
    </row>
    <row r="26" spans="3:6" x14ac:dyDescent="0.25">
      <c r="C26" s="15" t="s">
        <v>112</v>
      </c>
      <c r="D26" s="16">
        <v>2000</v>
      </c>
      <c r="E26" s="16">
        <v>1500</v>
      </c>
      <c r="F26" s="16">
        <v>1500</v>
      </c>
    </row>
    <row r="27" spans="3:6" x14ac:dyDescent="0.25">
      <c r="C27" s="15" t="s">
        <v>113</v>
      </c>
      <c r="D27" s="16">
        <f>15*4*214</f>
        <v>12840</v>
      </c>
      <c r="E27" s="16">
        <v>16500</v>
      </c>
      <c r="F27" s="16">
        <v>17000</v>
      </c>
    </row>
    <row r="28" spans="3:6" x14ac:dyDescent="0.25">
      <c r="C28" s="15" t="s">
        <v>114</v>
      </c>
      <c r="D28" s="16">
        <f>300*4*12</f>
        <v>14400</v>
      </c>
      <c r="E28" s="16">
        <v>18500</v>
      </c>
      <c r="F28" s="16">
        <v>19000</v>
      </c>
    </row>
    <row r="29" spans="3:6" x14ac:dyDescent="0.25">
      <c r="C29" s="15" t="s">
        <v>115</v>
      </c>
      <c r="D29" s="16">
        <f>150*4*12</f>
        <v>7200</v>
      </c>
      <c r="E29" s="16">
        <v>9500</v>
      </c>
      <c r="F29" s="16">
        <v>10000</v>
      </c>
    </row>
    <row r="30" spans="3:6" x14ac:dyDescent="0.25">
      <c r="C30" s="15" t="s">
        <v>5</v>
      </c>
      <c r="D30" s="16">
        <v>1500</v>
      </c>
      <c r="E30" s="16">
        <v>1600</v>
      </c>
      <c r="F30" s="16">
        <v>1700</v>
      </c>
    </row>
    <row r="31" spans="3:6" x14ac:dyDescent="0.25">
      <c r="C31" s="15" t="s">
        <v>51</v>
      </c>
      <c r="D31" s="16">
        <v>1000</v>
      </c>
      <c r="E31" s="16">
        <v>1100</v>
      </c>
      <c r="F31" s="16">
        <v>1200</v>
      </c>
    </row>
    <row r="32" spans="3:6" x14ac:dyDescent="0.25">
      <c r="C32" s="15" t="s">
        <v>68</v>
      </c>
      <c r="D32" s="16">
        <v>2500</v>
      </c>
      <c r="E32" s="16">
        <v>2550</v>
      </c>
      <c r="F32" s="16">
        <v>2600</v>
      </c>
    </row>
    <row r="33" spans="3:6" x14ac:dyDescent="0.25">
      <c r="C33" s="15" t="s">
        <v>6</v>
      </c>
      <c r="D33" s="16">
        <f>(0.45+0.25)/100*'Masse salariale et CA indiv'!K16</f>
        <v>1670.9943599999997</v>
      </c>
      <c r="E33" s="16">
        <f>D33*1.03</f>
        <v>1721.1241907999997</v>
      </c>
      <c r="F33" s="16">
        <f>E33*1.03</f>
        <v>1772.7579165239997</v>
      </c>
    </row>
    <row r="34" spans="3:6" x14ac:dyDescent="0.25">
      <c r="C34" s="15" t="s">
        <v>52</v>
      </c>
      <c r="D34" s="16">
        <v>750</v>
      </c>
      <c r="E34" s="16">
        <v>800</v>
      </c>
      <c r="F34" s="16">
        <v>850</v>
      </c>
    </row>
    <row r="35" spans="3:6" x14ac:dyDescent="0.25">
      <c r="C35" s="1" t="s">
        <v>0</v>
      </c>
      <c r="D35" s="4">
        <f>SUM(D18:D34)</f>
        <v>92064.994359999997</v>
      </c>
      <c r="E35" s="4">
        <f>SUM(E18:E34)</f>
        <v>102379.9241908</v>
      </c>
      <c r="F35" s="4">
        <f>SUM(F18:F34)</f>
        <v>105152.27391652401</v>
      </c>
    </row>
    <row r="36" spans="3:6" ht="12.75" customHeight="1" x14ac:dyDescent="0.25">
      <c r="C36" s="1"/>
      <c r="D36" s="3"/>
      <c r="E36" s="3"/>
      <c r="F36" s="3"/>
    </row>
    <row r="37" spans="3:6" x14ac:dyDescent="0.25">
      <c r="C37" s="1" t="s">
        <v>1</v>
      </c>
      <c r="D37" s="3">
        <f>'Masse salariale et CA indiv'!N16</f>
        <v>283795.51467600005</v>
      </c>
      <c r="E37" s="3">
        <f>'Masse salariale et CA indiv'!P16</f>
        <v>295949.18361599999</v>
      </c>
      <c r="F37" s="3">
        <f>'Masse salariale et CA indiv'!R16</f>
        <v>298908.67545215995</v>
      </c>
    </row>
    <row r="38" spans="3:6" ht="12" customHeight="1" x14ac:dyDescent="0.25"/>
    <row r="39" spans="3:6" x14ac:dyDescent="0.25">
      <c r="C39" s="1" t="s">
        <v>53</v>
      </c>
      <c r="D39" s="66"/>
      <c r="E39" s="66"/>
      <c r="F39" s="66"/>
    </row>
    <row r="40" spans="3:6" x14ac:dyDescent="0.25">
      <c r="C40" s="67" t="s">
        <v>72</v>
      </c>
      <c r="D40" s="68"/>
      <c r="E40" s="68"/>
      <c r="F40" s="68"/>
    </row>
    <row r="41" spans="3:6" x14ac:dyDescent="0.25">
      <c r="C41" s="67"/>
      <c r="D41" s="68"/>
      <c r="E41" s="68"/>
      <c r="F41" s="68"/>
    </row>
    <row r="42" spans="3:6" ht="12" customHeight="1" x14ac:dyDescent="0.25">
      <c r="C42" s="67"/>
    </row>
    <row r="43" spans="3:6" x14ac:dyDescent="0.25">
      <c r="C43" s="1" t="s">
        <v>14</v>
      </c>
      <c r="D43" s="4">
        <f>D16-D35-D37+D41+D40</f>
        <v>99339.490963999939</v>
      </c>
      <c r="E43" s="4">
        <f>E16-E35-E37+E41+E40</f>
        <v>109522.89219320001</v>
      </c>
      <c r="F43" s="4">
        <f>F16-F35-F37+F41+F40</f>
        <v>138722.57063131605</v>
      </c>
    </row>
    <row r="45" spans="3:6" x14ac:dyDescent="0.25">
      <c r="C45" t="s">
        <v>7</v>
      </c>
      <c r="D45" s="16">
        <v>4000</v>
      </c>
      <c r="E45" s="16">
        <f>D45</f>
        <v>4000</v>
      </c>
      <c r="F45" s="16">
        <f>E45</f>
        <v>4000</v>
      </c>
    </row>
    <row r="46" spans="3:6" x14ac:dyDescent="0.25">
      <c r="D46" s="16"/>
      <c r="E46" s="16"/>
      <c r="F46" s="16"/>
    </row>
    <row r="47" spans="3:6" x14ac:dyDescent="0.25">
      <c r="C47" t="s">
        <v>22</v>
      </c>
      <c r="D47" s="16">
        <f>SUM('simulation emprunt'!E7:F18)</f>
        <v>19110.509999999998</v>
      </c>
      <c r="E47" s="16">
        <f>SUM('simulation emprunt'!E19:F30)</f>
        <v>16898.45</v>
      </c>
      <c r="F47" s="16">
        <f>SUM('simulation emprunt'!E31:F42)</f>
        <v>14600.880000000001</v>
      </c>
    </row>
    <row r="49" spans="1:10" x14ac:dyDescent="0.25">
      <c r="C49" t="s">
        <v>21</v>
      </c>
      <c r="D49" s="17">
        <f>D43-D45-D47</f>
        <v>76228.980963999944</v>
      </c>
      <c r="E49" s="17">
        <f t="shared" ref="E49:F49" si="6">E43-E45-E47</f>
        <v>88624.442193200011</v>
      </c>
      <c r="F49" s="17">
        <f t="shared" si="6"/>
        <v>120121.69063131604</v>
      </c>
    </row>
    <row r="51" spans="1:10" x14ac:dyDescent="0.25">
      <c r="C51" t="s">
        <v>28</v>
      </c>
      <c r="D51" s="2">
        <f>IF(D49&lt;0,0,IF(D49&lt;38120,D49*0.15,(D49-38120)*0.27+38120*0.15))</f>
        <v>16007.424860279985</v>
      </c>
      <c r="E51" s="2">
        <f t="shared" ref="E51:F51" si="7">IF(E49&lt;0,0,IF(E49&lt;38120,E49*0.15,(E49-38120)*0.27+38120*0.15))</f>
        <v>19354.199392164002</v>
      </c>
      <c r="F51" s="2">
        <f t="shared" si="7"/>
        <v>27858.456470455334</v>
      </c>
    </row>
    <row r="53" spans="1:10" x14ac:dyDescent="0.25">
      <c r="C53" s="1" t="s">
        <v>8</v>
      </c>
      <c r="D53" s="4">
        <f>D49-D51</f>
        <v>60221.556103719959</v>
      </c>
      <c r="E53" s="4">
        <f t="shared" ref="E53:F53" si="8">E49-E51</f>
        <v>69270.242801036016</v>
      </c>
      <c r="F53" s="4">
        <f t="shared" si="8"/>
        <v>92263.234160860709</v>
      </c>
    </row>
    <row r="54" spans="1:10" x14ac:dyDescent="0.25">
      <c r="C54" s="1"/>
      <c r="D54" s="3"/>
      <c r="E54" s="3"/>
      <c r="F54" s="3"/>
    </row>
    <row r="56" spans="1:10" s="5" customFormat="1" ht="18.75" x14ac:dyDescent="0.3">
      <c r="A56" s="5" t="s">
        <v>16</v>
      </c>
      <c r="D56" s="6"/>
      <c r="E56" s="6"/>
      <c r="F56" s="6"/>
      <c r="G56" s="6"/>
      <c r="J56"/>
    </row>
    <row r="58" spans="1:10" x14ac:dyDescent="0.25">
      <c r="D58" s="7" t="s">
        <v>17</v>
      </c>
      <c r="E58" s="7" t="s">
        <v>18</v>
      </c>
      <c r="F58" s="7" t="s">
        <v>19</v>
      </c>
    </row>
    <row r="59" spans="1:10" x14ac:dyDescent="0.25">
      <c r="C59" s="1" t="s">
        <v>14</v>
      </c>
      <c r="D59" s="2">
        <f>+D43</f>
        <v>99339.490963999939</v>
      </c>
      <c r="E59" s="2">
        <f t="shared" ref="E59:F59" si="9">+E43</f>
        <v>109522.89219320001</v>
      </c>
      <c r="F59" s="2">
        <f t="shared" si="9"/>
        <v>138722.57063131605</v>
      </c>
    </row>
    <row r="61" spans="1:10" x14ac:dyDescent="0.25">
      <c r="C61" t="s">
        <v>20</v>
      </c>
      <c r="D61" s="2">
        <f>-D47</f>
        <v>-19110.509999999998</v>
      </c>
      <c r="E61" s="2">
        <f t="shared" ref="E61:F61" si="10">-E47</f>
        <v>-16898.45</v>
      </c>
      <c r="F61" s="2">
        <f t="shared" si="10"/>
        <v>-14600.880000000001</v>
      </c>
    </row>
    <row r="62" spans="1:10" x14ac:dyDescent="0.25">
      <c r="C62" t="s">
        <v>372</v>
      </c>
      <c r="D62" s="2">
        <f>-SUM('simulation emprunt'!D7:D18)</f>
        <v>-57204.97</v>
      </c>
      <c r="E62" s="2">
        <f>-SUM('simulation emprunt'!D19:D30)</f>
        <v>-59417</v>
      </c>
      <c r="F62" s="2">
        <f>-SUM('simulation emprunt'!D31:D42)</f>
        <v>-61714.570000000007</v>
      </c>
    </row>
    <row r="63" spans="1:10" x14ac:dyDescent="0.25">
      <c r="C63" t="s">
        <v>60</v>
      </c>
      <c r="D63" s="2">
        <f>-D51</f>
        <v>-16007.424860279985</v>
      </c>
      <c r="E63" s="2">
        <f t="shared" ref="E63:F63" si="11">-E51</f>
        <v>-19354.199392164002</v>
      </c>
      <c r="F63" s="2">
        <f t="shared" si="11"/>
        <v>-27858.456470455334</v>
      </c>
    </row>
    <row r="65" spans="3:6" x14ac:dyDescent="0.25">
      <c r="C65" s="102" t="s">
        <v>373</v>
      </c>
      <c r="D65" s="4">
        <f>D59+D61+D63+D62</f>
        <v>7016.5861037199575</v>
      </c>
      <c r="E65" s="4">
        <f t="shared" ref="E65:F65" si="12">E59+E61+E63+E62</f>
        <v>13853.242801036016</v>
      </c>
      <c r="F65" s="4">
        <f t="shared" si="12"/>
        <v>34548.664160860702</v>
      </c>
    </row>
  </sheetData>
  <phoneticPr fontId="8" type="noConversion"/>
  <pageMargins left="0.7" right="0.7" top="0.75" bottom="0.75" header="0.3" footer="0.3"/>
  <pageSetup paperSize="9" scale="94" orientation="portrait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78"/>
  <sheetViews>
    <sheetView workbookViewId="0">
      <selection activeCell="G7" sqref="G7:G18"/>
    </sheetView>
  </sheetViews>
  <sheetFormatPr baseColWidth="10" defaultRowHeight="15" x14ac:dyDescent="0.25"/>
  <cols>
    <col min="1" max="3" width="11.5703125" bestFit="1" customWidth="1"/>
    <col min="4" max="4" width="12.42578125" bestFit="1" customWidth="1"/>
    <col min="5" max="7" width="11.5703125" bestFit="1" customWidth="1"/>
    <col min="11" max="11" width="12" bestFit="1" customWidth="1"/>
    <col min="13" max="13" width="19.85546875" customWidth="1"/>
  </cols>
  <sheetData>
    <row r="1" spans="1:17" x14ac:dyDescent="0.25">
      <c r="B1" s="8" t="s">
        <v>46</v>
      </c>
      <c r="C1" s="55">
        <v>450000</v>
      </c>
    </row>
    <row r="2" spans="1:17" x14ac:dyDescent="0.25">
      <c r="B2" s="8"/>
      <c r="G2" s="8" t="s">
        <v>27</v>
      </c>
    </row>
    <row r="3" spans="1:17" x14ac:dyDescent="0.25">
      <c r="A3" s="13" t="s">
        <v>23</v>
      </c>
      <c r="B3" s="13" t="s">
        <v>24</v>
      </c>
      <c r="C3" s="13" t="s">
        <v>25</v>
      </c>
      <c r="D3" s="14">
        <v>3.7999999999999999E-2</v>
      </c>
      <c r="E3" s="13"/>
      <c r="F3" s="13" t="s">
        <v>26</v>
      </c>
      <c r="G3" s="13" t="s">
        <v>117</v>
      </c>
    </row>
    <row r="5" spans="1:17" ht="15.75" thickBot="1" x14ac:dyDescent="0.3">
      <c r="A5" t="s">
        <v>45</v>
      </c>
      <c r="D5" s="2"/>
      <c r="E5" s="2"/>
      <c r="F5" s="9"/>
      <c r="G5" s="2">
        <f>SUM(E7:F18)</f>
        <v>19110.509999999998</v>
      </c>
      <c r="I5" s="60" t="s">
        <v>49</v>
      </c>
    </row>
    <row r="6" spans="1:17" ht="15.75" thickBot="1" x14ac:dyDescent="0.3">
      <c r="A6" s="75" t="s">
        <v>10</v>
      </c>
      <c r="B6" s="70"/>
      <c r="C6" s="10"/>
      <c r="D6" s="11" t="s">
        <v>12</v>
      </c>
      <c r="E6" s="11" t="s">
        <v>13</v>
      </c>
      <c r="F6" s="11" t="s">
        <v>4</v>
      </c>
      <c r="G6" s="12" t="s">
        <v>11</v>
      </c>
      <c r="I6" s="58" t="s">
        <v>50</v>
      </c>
      <c r="K6" s="94">
        <v>310000</v>
      </c>
    </row>
    <row r="7" spans="1:17" x14ac:dyDescent="0.25">
      <c r="A7" s="76">
        <v>46023</v>
      </c>
      <c r="B7" s="71">
        <v>445315.38</v>
      </c>
      <c r="C7" s="18">
        <v>6109.62</v>
      </c>
      <c r="D7" s="18">
        <v>4684.62</v>
      </c>
      <c r="E7" s="19">
        <v>1425</v>
      </c>
      <c r="F7" s="19">
        <v>250</v>
      </c>
      <c r="G7" s="20">
        <v>6359.62</v>
      </c>
      <c r="I7" t="s">
        <v>71</v>
      </c>
      <c r="K7" s="94">
        <v>50000</v>
      </c>
    </row>
    <row r="8" spans="1:17" x14ac:dyDescent="0.25">
      <c r="A8" s="77">
        <v>46054</v>
      </c>
      <c r="B8" s="72">
        <v>440615.92</v>
      </c>
      <c r="C8" s="21">
        <v>6109.62</v>
      </c>
      <c r="D8" s="21">
        <v>4699.46</v>
      </c>
      <c r="E8" s="22">
        <v>1410.17</v>
      </c>
      <c r="F8" s="22">
        <v>250</v>
      </c>
      <c r="G8" s="23">
        <v>6359.62</v>
      </c>
      <c r="I8" t="s">
        <v>70</v>
      </c>
      <c r="K8" s="94">
        <v>30000</v>
      </c>
    </row>
    <row r="9" spans="1:17" x14ac:dyDescent="0.25">
      <c r="A9" s="77">
        <v>46082</v>
      </c>
      <c r="B9" s="72">
        <v>435901.59</v>
      </c>
      <c r="C9" s="21">
        <v>6109.62</v>
      </c>
      <c r="D9" s="21">
        <v>4714.34</v>
      </c>
      <c r="E9" s="22">
        <v>1395.28</v>
      </c>
      <c r="F9" s="22">
        <v>250</v>
      </c>
      <c r="G9" s="23">
        <v>6359.62</v>
      </c>
      <c r="I9" t="s">
        <v>64</v>
      </c>
      <c r="K9" s="94">
        <v>1500</v>
      </c>
    </row>
    <row r="10" spans="1:17" x14ac:dyDescent="0.25">
      <c r="A10" s="77">
        <v>46113</v>
      </c>
      <c r="B10" s="72">
        <v>431172.32</v>
      </c>
      <c r="C10" s="21">
        <v>6109.62</v>
      </c>
      <c r="D10" s="21">
        <v>4729.2700000000004</v>
      </c>
      <c r="E10" s="22">
        <v>1380.36</v>
      </c>
      <c r="F10" s="22">
        <v>250</v>
      </c>
      <c r="G10" s="23">
        <v>6359.62</v>
      </c>
      <c r="I10" t="s">
        <v>54</v>
      </c>
      <c r="K10" s="94">
        <v>15000</v>
      </c>
    </row>
    <row r="11" spans="1:17" x14ac:dyDescent="0.25">
      <c r="A11" s="77">
        <v>46143</v>
      </c>
      <c r="B11" s="72">
        <v>426428.08</v>
      </c>
      <c r="C11" s="21">
        <v>6109.62</v>
      </c>
      <c r="D11" s="21">
        <v>4744.24</v>
      </c>
      <c r="E11" s="22">
        <v>1365.38</v>
      </c>
      <c r="F11" s="22">
        <v>250</v>
      </c>
      <c r="G11" s="23">
        <v>6359.62</v>
      </c>
      <c r="I11" t="s">
        <v>55</v>
      </c>
      <c r="K11" s="94">
        <f>2500*3</f>
        <v>7500</v>
      </c>
      <c r="L11" t="s">
        <v>95</v>
      </c>
    </row>
    <row r="12" spans="1:17" x14ac:dyDescent="0.25">
      <c r="A12" s="77">
        <v>46174</v>
      </c>
      <c r="B12" s="72">
        <v>421668.81</v>
      </c>
      <c r="C12" s="21">
        <v>6109.62</v>
      </c>
      <c r="D12" s="21">
        <v>4759.2700000000004</v>
      </c>
      <c r="E12" s="22">
        <v>1350.36</v>
      </c>
      <c r="F12" s="22">
        <v>250</v>
      </c>
      <c r="G12" s="23">
        <v>6359.62</v>
      </c>
      <c r="I12" t="s">
        <v>96</v>
      </c>
      <c r="K12" s="94">
        <v>4500</v>
      </c>
    </row>
    <row r="13" spans="1:17" x14ac:dyDescent="0.25">
      <c r="A13" s="77">
        <v>46204</v>
      </c>
      <c r="B13" s="72">
        <v>416894.48</v>
      </c>
      <c r="C13" s="21">
        <v>6109.62</v>
      </c>
      <c r="D13" s="21">
        <v>4774.34</v>
      </c>
      <c r="E13" s="22">
        <v>1335.28</v>
      </c>
      <c r="F13" s="22">
        <v>250</v>
      </c>
      <c r="G13" s="23">
        <v>6359.62</v>
      </c>
      <c r="I13" t="s">
        <v>97</v>
      </c>
      <c r="K13" s="94">
        <v>1200</v>
      </c>
      <c r="Q13" s="95"/>
    </row>
    <row r="14" spans="1:17" x14ac:dyDescent="0.25">
      <c r="A14" s="77">
        <v>46235</v>
      </c>
      <c r="B14" s="72">
        <v>412105.02</v>
      </c>
      <c r="C14" s="21">
        <v>6109.62</v>
      </c>
      <c r="D14" s="21">
        <v>4789.46</v>
      </c>
      <c r="E14" s="22">
        <v>1320.17</v>
      </c>
      <c r="F14" s="22">
        <v>250</v>
      </c>
      <c r="G14" s="23">
        <v>6359.62</v>
      </c>
      <c r="I14" t="s">
        <v>56</v>
      </c>
      <c r="K14" s="94">
        <v>500</v>
      </c>
    </row>
    <row r="15" spans="1:17" x14ac:dyDescent="0.25">
      <c r="A15" s="77">
        <v>46266</v>
      </c>
      <c r="B15" s="72">
        <v>407300.4</v>
      </c>
      <c r="C15" s="21">
        <v>6109.62</v>
      </c>
      <c r="D15" s="21">
        <v>4804.62</v>
      </c>
      <c r="E15" s="22">
        <v>1305</v>
      </c>
      <c r="F15" s="22">
        <v>250</v>
      </c>
      <c r="G15" s="23">
        <v>6359.62</v>
      </c>
      <c r="I15" t="s">
        <v>98</v>
      </c>
      <c r="K15" s="94">
        <f>30000/12*3</f>
        <v>7500</v>
      </c>
    </row>
    <row r="16" spans="1:17" x14ac:dyDescent="0.25">
      <c r="A16" s="77">
        <v>46296</v>
      </c>
      <c r="B16" s="72">
        <v>402480.56</v>
      </c>
      <c r="C16" s="21">
        <v>6109.62</v>
      </c>
      <c r="D16" s="21">
        <v>4819.84</v>
      </c>
      <c r="E16" s="22">
        <v>1289.78</v>
      </c>
      <c r="F16" s="22">
        <v>250</v>
      </c>
      <c r="G16" s="23">
        <v>6359.62</v>
      </c>
      <c r="I16" t="s">
        <v>110</v>
      </c>
      <c r="K16" s="94">
        <f>K6*0.06</f>
        <v>18600</v>
      </c>
    </row>
    <row r="17" spans="1:14" x14ac:dyDescent="0.25">
      <c r="A17" s="77">
        <v>46327</v>
      </c>
      <c r="B17" s="72">
        <v>397645.46</v>
      </c>
      <c r="C17" s="21">
        <v>6109.62</v>
      </c>
      <c r="D17" s="21">
        <v>4835.1000000000004</v>
      </c>
      <c r="E17" s="22">
        <v>1274.52</v>
      </c>
      <c r="F17" s="22">
        <v>250</v>
      </c>
      <c r="G17" s="23">
        <v>6359.62</v>
      </c>
    </row>
    <row r="18" spans="1:14" x14ac:dyDescent="0.25">
      <c r="A18" s="77">
        <v>46357</v>
      </c>
      <c r="B18" s="72">
        <v>392795.05</v>
      </c>
      <c r="C18" s="21">
        <v>6109.62</v>
      </c>
      <c r="D18" s="21">
        <v>4850.41</v>
      </c>
      <c r="E18" s="22">
        <v>1259.21</v>
      </c>
      <c r="F18" s="22">
        <v>250</v>
      </c>
      <c r="G18" s="23">
        <v>6359.62</v>
      </c>
      <c r="I18" t="s">
        <v>102</v>
      </c>
      <c r="K18" s="94">
        <v>20000</v>
      </c>
      <c r="L18" t="s">
        <v>103</v>
      </c>
    </row>
    <row r="19" spans="1:14" x14ac:dyDescent="0.25">
      <c r="A19" s="77">
        <v>46388</v>
      </c>
      <c r="B19" s="72">
        <v>387929.28</v>
      </c>
      <c r="C19" s="21">
        <v>6109.62</v>
      </c>
      <c r="D19" s="21">
        <v>4865.7700000000004</v>
      </c>
      <c r="E19" s="21">
        <v>1243.8499999999999</v>
      </c>
      <c r="F19" s="21">
        <v>250</v>
      </c>
      <c r="G19" s="23">
        <v>6359.62</v>
      </c>
    </row>
    <row r="20" spans="1:14" x14ac:dyDescent="0.25">
      <c r="A20" s="77">
        <v>46419</v>
      </c>
      <c r="B20" s="72">
        <v>383048.1</v>
      </c>
      <c r="C20" s="21">
        <v>6109.62</v>
      </c>
      <c r="D20" s="21">
        <v>4881.18</v>
      </c>
      <c r="E20" s="21">
        <v>1228.44</v>
      </c>
      <c r="F20" s="21">
        <v>250</v>
      </c>
      <c r="G20" s="23">
        <v>6359.62</v>
      </c>
    </row>
    <row r="21" spans="1:14" x14ac:dyDescent="0.25">
      <c r="A21" s="77">
        <v>46447</v>
      </c>
      <c r="B21" s="72">
        <v>378151.47</v>
      </c>
      <c r="C21" s="21">
        <v>6109.62</v>
      </c>
      <c r="D21" s="21">
        <v>4896.6400000000003</v>
      </c>
      <c r="E21" s="21">
        <v>1212.99</v>
      </c>
      <c r="F21" s="21">
        <v>250</v>
      </c>
      <c r="G21" s="23">
        <v>6359.62</v>
      </c>
      <c r="K21" s="59"/>
      <c r="N21" s="59"/>
    </row>
    <row r="22" spans="1:14" x14ac:dyDescent="0.25">
      <c r="A22" s="77">
        <v>46478</v>
      </c>
      <c r="B22" s="72">
        <v>373239.33</v>
      </c>
      <c r="C22" s="21">
        <v>6109.62</v>
      </c>
      <c r="D22" s="21">
        <v>4912.1400000000003</v>
      </c>
      <c r="E22" s="21">
        <v>1197.48</v>
      </c>
      <c r="F22" s="21">
        <v>250</v>
      </c>
      <c r="G22" s="23">
        <v>6359.62</v>
      </c>
    </row>
    <row r="23" spans="1:14" x14ac:dyDescent="0.25">
      <c r="A23" s="77">
        <v>46508</v>
      </c>
      <c r="B23" s="72">
        <v>368311.63</v>
      </c>
      <c r="C23" s="21">
        <v>6109.62</v>
      </c>
      <c r="D23" s="21">
        <v>4927.7</v>
      </c>
      <c r="E23" s="21">
        <v>1181.92</v>
      </c>
      <c r="F23" s="21">
        <v>250</v>
      </c>
      <c r="G23" s="23">
        <v>6359.62</v>
      </c>
    </row>
    <row r="24" spans="1:14" x14ac:dyDescent="0.25">
      <c r="A24" s="77">
        <v>46539</v>
      </c>
      <c r="B24" s="72">
        <v>363368.33</v>
      </c>
      <c r="C24" s="21">
        <v>6109.62</v>
      </c>
      <c r="D24" s="21">
        <v>4943.3</v>
      </c>
      <c r="E24" s="21">
        <v>1166.32</v>
      </c>
      <c r="F24" s="21">
        <v>250</v>
      </c>
      <c r="G24" s="23">
        <v>6359.62</v>
      </c>
      <c r="J24" s="102" t="s">
        <v>101</v>
      </c>
      <c r="K24" s="69">
        <f>SUM(K6:K23)</f>
        <v>466300</v>
      </c>
    </row>
    <row r="25" spans="1:14" x14ac:dyDescent="0.25">
      <c r="A25" s="77">
        <v>46569</v>
      </c>
      <c r="B25" s="72">
        <v>358409.37</v>
      </c>
      <c r="C25" s="21">
        <v>6109.62</v>
      </c>
      <c r="D25" s="21">
        <v>4958.95</v>
      </c>
      <c r="E25" s="21">
        <v>1150.67</v>
      </c>
      <c r="F25" s="21">
        <v>250</v>
      </c>
      <c r="G25" s="23">
        <v>6359.62</v>
      </c>
      <c r="J25" t="s">
        <v>57</v>
      </c>
      <c r="K25" s="59">
        <f>K24-K26</f>
        <v>450000</v>
      </c>
    </row>
    <row r="26" spans="1:14" x14ac:dyDescent="0.25">
      <c r="A26" s="77">
        <v>46600</v>
      </c>
      <c r="B26" s="72">
        <v>353434.72</v>
      </c>
      <c r="C26" s="21">
        <v>6109.62</v>
      </c>
      <c r="D26" s="21">
        <v>4974.66</v>
      </c>
      <c r="E26" s="21">
        <v>1134.96</v>
      </c>
      <c r="F26" s="21">
        <v>250</v>
      </c>
      <c r="G26" s="23">
        <v>6359.62</v>
      </c>
      <c r="J26" t="s">
        <v>58</v>
      </c>
      <c r="K26" s="59">
        <v>16300</v>
      </c>
    </row>
    <row r="27" spans="1:14" x14ac:dyDescent="0.25">
      <c r="A27" s="77">
        <v>46631</v>
      </c>
      <c r="B27" s="72">
        <v>348444.31</v>
      </c>
      <c r="C27" s="21">
        <v>6109.62</v>
      </c>
      <c r="D27" s="21">
        <v>4990.41</v>
      </c>
      <c r="E27" s="21">
        <v>1119.21</v>
      </c>
      <c r="F27" s="21">
        <v>250</v>
      </c>
      <c r="G27" s="23">
        <v>6359.62</v>
      </c>
    </row>
    <row r="28" spans="1:14" x14ac:dyDescent="0.25">
      <c r="A28" s="77">
        <v>46661</v>
      </c>
      <c r="B28" s="72">
        <v>343438.09</v>
      </c>
      <c r="C28" s="21">
        <v>6109.62</v>
      </c>
      <c r="D28" s="21">
        <v>5006.21</v>
      </c>
      <c r="E28" s="21">
        <v>1103.4100000000001</v>
      </c>
      <c r="F28" s="21">
        <v>250</v>
      </c>
      <c r="G28" s="23">
        <v>6359.62</v>
      </c>
    </row>
    <row r="29" spans="1:14" x14ac:dyDescent="0.25">
      <c r="A29" s="77">
        <v>46692</v>
      </c>
      <c r="B29" s="72">
        <v>338416.02</v>
      </c>
      <c r="C29" s="21">
        <v>6109.62</v>
      </c>
      <c r="D29" s="21">
        <v>5022.07</v>
      </c>
      <c r="E29" s="21">
        <v>1087.55</v>
      </c>
      <c r="F29" s="21">
        <v>250</v>
      </c>
      <c r="G29" s="23">
        <v>6359.62</v>
      </c>
    </row>
    <row r="30" spans="1:14" x14ac:dyDescent="0.25">
      <c r="A30" s="77">
        <v>46722</v>
      </c>
      <c r="B30" s="72">
        <v>333378.05</v>
      </c>
      <c r="C30" s="21">
        <v>6109.62</v>
      </c>
      <c r="D30" s="21">
        <v>5037.97</v>
      </c>
      <c r="E30" s="21">
        <v>1071.6500000000001</v>
      </c>
      <c r="F30" s="21">
        <v>250</v>
      </c>
      <c r="G30" s="23">
        <v>6359.62</v>
      </c>
    </row>
    <row r="31" spans="1:14" x14ac:dyDescent="0.25">
      <c r="A31" s="77">
        <v>46753</v>
      </c>
      <c r="B31" s="72">
        <v>328324.13</v>
      </c>
      <c r="C31" s="21">
        <v>6109.62</v>
      </c>
      <c r="D31" s="21">
        <v>5053.92</v>
      </c>
      <c r="E31" s="21">
        <v>1055.7</v>
      </c>
      <c r="F31" s="21">
        <v>250</v>
      </c>
      <c r="G31" s="23">
        <v>6359.62</v>
      </c>
    </row>
    <row r="32" spans="1:14" x14ac:dyDescent="0.25">
      <c r="A32" s="77">
        <v>46784</v>
      </c>
      <c r="B32" s="72">
        <v>323254.2</v>
      </c>
      <c r="C32" s="21">
        <v>6109.62</v>
      </c>
      <c r="D32" s="21">
        <v>5069.93</v>
      </c>
      <c r="E32" s="21">
        <v>1039.69</v>
      </c>
      <c r="F32" s="21">
        <v>250</v>
      </c>
      <c r="G32" s="23">
        <v>6359.62</v>
      </c>
    </row>
    <row r="33" spans="1:7" x14ac:dyDescent="0.25">
      <c r="A33" s="77">
        <v>46813</v>
      </c>
      <c r="B33" s="72">
        <v>318168.21999999997</v>
      </c>
      <c r="C33" s="21">
        <v>6109.62</v>
      </c>
      <c r="D33" s="21">
        <v>5085.9799999999996</v>
      </c>
      <c r="E33" s="21">
        <v>1023.64</v>
      </c>
      <c r="F33" s="21">
        <v>250</v>
      </c>
      <c r="G33" s="23">
        <v>6359.62</v>
      </c>
    </row>
    <row r="34" spans="1:7" x14ac:dyDescent="0.25">
      <c r="A34" s="77">
        <v>46844</v>
      </c>
      <c r="B34" s="72">
        <v>313066.13</v>
      </c>
      <c r="C34" s="21">
        <v>6109.62</v>
      </c>
      <c r="D34" s="21">
        <v>5102.09</v>
      </c>
      <c r="E34" s="21">
        <v>1007.53</v>
      </c>
      <c r="F34" s="21">
        <v>250</v>
      </c>
      <c r="G34" s="23">
        <v>6359.62</v>
      </c>
    </row>
    <row r="35" spans="1:7" x14ac:dyDescent="0.25">
      <c r="A35" s="77">
        <v>46874</v>
      </c>
      <c r="B35" s="72">
        <v>307947.89</v>
      </c>
      <c r="C35" s="21">
        <v>6109.62</v>
      </c>
      <c r="D35" s="21">
        <v>5118.25</v>
      </c>
      <c r="E35" s="21">
        <v>991.38</v>
      </c>
      <c r="F35" s="21">
        <v>250</v>
      </c>
      <c r="G35" s="23">
        <v>6359.62</v>
      </c>
    </row>
    <row r="36" spans="1:7" x14ac:dyDescent="0.25">
      <c r="A36" s="77">
        <v>46905</v>
      </c>
      <c r="B36" s="72">
        <v>302813.43</v>
      </c>
      <c r="C36" s="21">
        <v>6109.62</v>
      </c>
      <c r="D36" s="21">
        <v>5134.45</v>
      </c>
      <c r="E36" s="21">
        <v>975.17</v>
      </c>
      <c r="F36" s="21">
        <v>250</v>
      </c>
      <c r="G36" s="23">
        <v>6359.62</v>
      </c>
    </row>
    <row r="37" spans="1:7" x14ac:dyDescent="0.25">
      <c r="A37" s="77">
        <v>46935</v>
      </c>
      <c r="B37" s="72">
        <v>297662.71999999997</v>
      </c>
      <c r="C37" s="21">
        <v>6109.62</v>
      </c>
      <c r="D37" s="21">
        <v>5150.71</v>
      </c>
      <c r="E37" s="21">
        <v>958.91</v>
      </c>
      <c r="F37" s="21">
        <v>250</v>
      </c>
      <c r="G37" s="23">
        <v>6359.62</v>
      </c>
    </row>
    <row r="38" spans="1:7" x14ac:dyDescent="0.25">
      <c r="A38" s="77">
        <v>46966</v>
      </c>
      <c r="B38" s="72">
        <v>292495.7</v>
      </c>
      <c r="C38" s="21">
        <v>6109.62</v>
      </c>
      <c r="D38" s="21">
        <v>5167.0200000000004</v>
      </c>
      <c r="E38" s="21">
        <v>942.6</v>
      </c>
      <c r="F38" s="21">
        <v>250</v>
      </c>
      <c r="G38" s="23">
        <v>6359.62</v>
      </c>
    </row>
    <row r="39" spans="1:7" x14ac:dyDescent="0.25">
      <c r="A39" s="77">
        <v>46997</v>
      </c>
      <c r="B39" s="72">
        <v>287312.31</v>
      </c>
      <c r="C39" s="21">
        <v>6109.62</v>
      </c>
      <c r="D39" s="21">
        <v>5183.38</v>
      </c>
      <c r="E39" s="21">
        <v>926.24</v>
      </c>
      <c r="F39" s="21">
        <v>250</v>
      </c>
      <c r="G39" s="23">
        <v>6359.62</v>
      </c>
    </row>
    <row r="40" spans="1:7" x14ac:dyDescent="0.25">
      <c r="A40" s="77">
        <v>47027</v>
      </c>
      <c r="B40" s="72">
        <v>282112.51</v>
      </c>
      <c r="C40" s="21">
        <v>6109.62</v>
      </c>
      <c r="D40" s="21">
        <v>5199.8</v>
      </c>
      <c r="E40" s="21">
        <v>909.82</v>
      </c>
      <c r="F40" s="21">
        <v>250</v>
      </c>
      <c r="G40" s="23">
        <v>6359.62</v>
      </c>
    </row>
    <row r="41" spans="1:7" x14ac:dyDescent="0.25">
      <c r="A41" s="77">
        <v>47058</v>
      </c>
      <c r="B41" s="72">
        <v>276896.25</v>
      </c>
      <c r="C41" s="21">
        <v>6109.62</v>
      </c>
      <c r="D41" s="21">
        <v>5216.26</v>
      </c>
      <c r="E41" s="21">
        <v>893.36</v>
      </c>
      <c r="F41" s="21">
        <v>250</v>
      </c>
      <c r="G41" s="23">
        <v>6359.62</v>
      </c>
    </row>
    <row r="42" spans="1:7" x14ac:dyDescent="0.25">
      <c r="A42" s="77">
        <v>47088</v>
      </c>
      <c r="B42" s="72">
        <v>271663.46999999997</v>
      </c>
      <c r="C42" s="21">
        <v>6109.62</v>
      </c>
      <c r="D42" s="21">
        <v>5232.78</v>
      </c>
      <c r="E42" s="21">
        <v>876.84</v>
      </c>
      <c r="F42" s="21">
        <v>250</v>
      </c>
      <c r="G42" s="23">
        <v>6359.62</v>
      </c>
    </row>
    <row r="43" spans="1:7" x14ac:dyDescent="0.25">
      <c r="A43" s="77">
        <v>47119</v>
      </c>
      <c r="B43" s="72">
        <v>266414.11</v>
      </c>
      <c r="C43" s="21">
        <v>6109.62</v>
      </c>
      <c r="D43" s="21">
        <v>5249.35</v>
      </c>
      <c r="E43" s="21">
        <v>860.27</v>
      </c>
      <c r="F43" s="21">
        <v>250</v>
      </c>
      <c r="G43" s="23">
        <v>6359.62</v>
      </c>
    </row>
    <row r="44" spans="1:7" x14ac:dyDescent="0.25">
      <c r="A44" s="77">
        <v>47150</v>
      </c>
      <c r="B44" s="72">
        <v>261148.14</v>
      </c>
      <c r="C44" s="21">
        <v>6109.62</v>
      </c>
      <c r="D44" s="21">
        <v>5265.98</v>
      </c>
      <c r="E44" s="21">
        <v>843.64</v>
      </c>
      <c r="F44" s="21">
        <v>250</v>
      </c>
      <c r="G44" s="23">
        <v>6359.62</v>
      </c>
    </row>
    <row r="45" spans="1:7" x14ac:dyDescent="0.25">
      <c r="A45" s="77">
        <v>47178</v>
      </c>
      <c r="B45" s="73">
        <v>255865.48</v>
      </c>
      <c r="C45" s="24">
        <v>6109.62</v>
      </c>
      <c r="D45" s="24">
        <v>5282.65</v>
      </c>
      <c r="E45" s="24">
        <v>826.97</v>
      </c>
      <c r="F45" s="24">
        <v>250</v>
      </c>
      <c r="G45" s="25">
        <v>6359.62</v>
      </c>
    </row>
    <row r="46" spans="1:7" x14ac:dyDescent="0.25">
      <c r="A46" s="77">
        <v>47209</v>
      </c>
      <c r="B46" s="72">
        <v>250566.1</v>
      </c>
      <c r="C46" s="24">
        <v>6109.62</v>
      </c>
      <c r="D46" s="24">
        <v>5299.38</v>
      </c>
      <c r="E46" s="24">
        <v>810.24</v>
      </c>
      <c r="F46" s="24">
        <v>250</v>
      </c>
      <c r="G46" s="25">
        <v>6359.62</v>
      </c>
    </row>
    <row r="47" spans="1:7" x14ac:dyDescent="0.25">
      <c r="A47" s="77">
        <v>47239</v>
      </c>
      <c r="B47" s="72">
        <v>245249.94</v>
      </c>
      <c r="C47" s="24">
        <v>6109.62</v>
      </c>
      <c r="D47" s="24">
        <v>5316.16</v>
      </c>
      <c r="E47" s="24">
        <v>793.46</v>
      </c>
      <c r="F47" s="24">
        <v>250</v>
      </c>
      <c r="G47" s="25">
        <v>6359.62</v>
      </c>
    </row>
    <row r="48" spans="1:7" x14ac:dyDescent="0.25">
      <c r="A48" s="77">
        <v>47270</v>
      </c>
      <c r="B48" s="72">
        <v>239916.95</v>
      </c>
      <c r="C48" s="24">
        <v>6109.62</v>
      </c>
      <c r="D48" s="24">
        <v>5333</v>
      </c>
      <c r="E48" s="24">
        <v>776.62</v>
      </c>
      <c r="F48" s="24">
        <v>250</v>
      </c>
      <c r="G48" s="25">
        <v>6359.62</v>
      </c>
    </row>
    <row r="49" spans="1:7" x14ac:dyDescent="0.25">
      <c r="A49" s="77">
        <v>47300</v>
      </c>
      <c r="B49" s="72">
        <v>234567.06</v>
      </c>
      <c r="C49" s="24">
        <v>6109.62</v>
      </c>
      <c r="D49" s="24">
        <v>5349.88</v>
      </c>
      <c r="E49" s="24">
        <v>759.74</v>
      </c>
      <c r="F49" s="24">
        <v>250</v>
      </c>
      <c r="G49" s="25">
        <v>6359.62</v>
      </c>
    </row>
    <row r="50" spans="1:7" x14ac:dyDescent="0.25">
      <c r="A50" s="77">
        <v>47331</v>
      </c>
      <c r="B50" s="72">
        <v>229200.24</v>
      </c>
      <c r="C50" s="24">
        <v>6109.62</v>
      </c>
      <c r="D50" s="24">
        <v>5366.83</v>
      </c>
      <c r="E50" s="24">
        <v>742.8</v>
      </c>
      <c r="F50" s="24">
        <v>250</v>
      </c>
      <c r="G50" s="25">
        <v>6359.62</v>
      </c>
    </row>
    <row r="51" spans="1:7" x14ac:dyDescent="0.25">
      <c r="A51" s="77">
        <v>47362</v>
      </c>
      <c r="B51" s="72">
        <v>223816.42</v>
      </c>
      <c r="C51" s="24">
        <v>6109.62</v>
      </c>
      <c r="D51" s="24">
        <v>5383.82</v>
      </c>
      <c r="E51" s="24">
        <v>725.8</v>
      </c>
      <c r="F51" s="24">
        <v>250</v>
      </c>
      <c r="G51" s="25">
        <v>6359.62</v>
      </c>
    </row>
    <row r="52" spans="1:7" x14ac:dyDescent="0.25">
      <c r="A52" s="77">
        <v>47392</v>
      </c>
      <c r="B52" s="72">
        <v>218415.55</v>
      </c>
      <c r="C52" s="24">
        <v>6109.62</v>
      </c>
      <c r="D52" s="24">
        <v>5400.87</v>
      </c>
      <c r="E52" s="24">
        <v>708.75</v>
      </c>
      <c r="F52" s="24">
        <v>250</v>
      </c>
      <c r="G52" s="25">
        <v>6359.62</v>
      </c>
    </row>
    <row r="53" spans="1:7" x14ac:dyDescent="0.25">
      <c r="A53" s="77">
        <v>47423</v>
      </c>
      <c r="B53" s="72">
        <v>212997.58</v>
      </c>
      <c r="C53" s="24">
        <v>6109.62</v>
      </c>
      <c r="D53" s="24">
        <v>5417.97</v>
      </c>
      <c r="E53" s="24">
        <v>691.65</v>
      </c>
      <c r="F53" s="24">
        <v>250</v>
      </c>
      <c r="G53" s="25">
        <v>6359.62</v>
      </c>
    </row>
    <row r="54" spans="1:7" x14ac:dyDescent="0.25">
      <c r="A54" s="77">
        <v>47453</v>
      </c>
      <c r="B54" s="72">
        <v>207562.45</v>
      </c>
      <c r="C54" s="24">
        <v>6109.62</v>
      </c>
      <c r="D54" s="24">
        <v>5435.13</v>
      </c>
      <c r="E54" s="24">
        <v>674.49</v>
      </c>
      <c r="F54" s="24">
        <v>250</v>
      </c>
      <c r="G54" s="25">
        <v>6359.62</v>
      </c>
    </row>
    <row r="55" spans="1:7" x14ac:dyDescent="0.25">
      <c r="A55" s="77">
        <v>47484</v>
      </c>
      <c r="B55" s="72">
        <v>202110.11</v>
      </c>
      <c r="C55" s="24">
        <v>6109.62</v>
      </c>
      <c r="D55" s="24">
        <v>5452.34</v>
      </c>
      <c r="E55" s="24">
        <v>657.28</v>
      </c>
      <c r="F55" s="24">
        <v>250</v>
      </c>
      <c r="G55" s="25">
        <v>6359.62</v>
      </c>
    </row>
    <row r="56" spans="1:7" x14ac:dyDescent="0.25">
      <c r="A56" s="77">
        <v>47515</v>
      </c>
      <c r="B56" s="72">
        <v>196640.5</v>
      </c>
      <c r="C56" s="24">
        <v>6109.62</v>
      </c>
      <c r="D56" s="24">
        <v>5469.61</v>
      </c>
      <c r="E56" s="24">
        <v>640.02</v>
      </c>
      <c r="F56" s="24">
        <v>250</v>
      </c>
      <c r="G56" s="25">
        <v>6359.62</v>
      </c>
    </row>
    <row r="57" spans="1:7" x14ac:dyDescent="0.25">
      <c r="A57" s="77">
        <v>47543</v>
      </c>
      <c r="B57" s="72">
        <v>191153.57</v>
      </c>
      <c r="C57" s="24">
        <v>6109.62</v>
      </c>
      <c r="D57" s="24">
        <v>5486.93</v>
      </c>
      <c r="E57" s="24">
        <v>622.69000000000005</v>
      </c>
      <c r="F57" s="24">
        <v>250</v>
      </c>
      <c r="G57" s="25">
        <v>6359.62</v>
      </c>
    </row>
    <row r="58" spans="1:7" x14ac:dyDescent="0.25">
      <c r="A58" s="77">
        <v>47574</v>
      </c>
      <c r="B58" s="72">
        <v>185649.27</v>
      </c>
      <c r="C58" s="24">
        <v>6109.62</v>
      </c>
      <c r="D58" s="24">
        <v>5504.3</v>
      </c>
      <c r="E58" s="24">
        <v>605.32000000000005</v>
      </c>
      <c r="F58" s="24">
        <v>250</v>
      </c>
      <c r="G58" s="25">
        <v>6359.62</v>
      </c>
    </row>
    <row r="59" spans="1:7" x14ac:dyDescent="0.25">
      <c r="A59" s="77">
        <v>47604</v>
      </c>
      <c r="B59" s="72">
        <v>180127.54</v>
      </c>
      <c r="C59" s="24">
        <v>6109.62</v>
      </c>
      <c r="D59" s="24">
        <v>5521.73</v>
      </c>
      <c r="E59" s="24">
        <v>587.89</v>
      </c>
      <c r="F59" s="24">
        <v>250</v>
      </c>
      <c r="G59" s="25">
        <v>6359.62</v>
      </c>
    </row>
    <row r="60" spans="1:7" x14ac:dyDescent="0.25">
      <c r="A60" s="77">
        <v>47635</v>
      </c>
      <c r="B60" s="72">
        <v>174588.32</v>
      </c>
      <c r="C60" s="24">
        <v>6109.62</v>
      </c>
      <c r="D60" s="24">
        <v>5539.22</v>
      </c>
      <c r="E60" s="24">
        <v>570.4</v>
      </c>
      <c r="F60" s="24">
        <v>250</v>
      </c>
      <c r="G60" s="25">
        <v>6359.62</v>
      </c>
    </row>
    <row r="61" spans="1:7" x14ac:dyDescent="0.25">
      <c r="A61" s="77">
        <v>47665</v>
      </c>
      <c r="B61" s="72">
        <v>169031.57</v>
      </c>
      <c r="C61" s="24">
        <v>6109.62</v>
      </c>
      <c r="D61" s="24">
        <v>5556.76</v>
      </c>
      <c r="E61" s="24">
        <v>552.86</v>
      </c>
      <c r="F61" s="24">
        <v>250</v>
      </c>
      <c r="G61" s="25">
        <v>6359.62</v>
      </c>
    </row>
    <row r="62" spans="1:7" x14ac:dyDescent="0.25">
      <c r="A62" s="77">
        <v>47696</v>
      </c>
      <c r="B62" s="72">
        <v>163457.21</v>
      </c>
      <c r="C62" s="24">
        <v>6109.62</v>
      </c>
      <c r="D62" s="24">
        <v>5574.35</v>
      </c>
      <c r="E62" s="24">
        <v>535.27</v>
      </c>
      <c r="F62" s="24">
        <v>250</v>
      </c>
      <c r="G62" s="25">
        <v>6359.62</v>
      </c>
    </row>
    <row r="63" spans="1:7" x14ac:dyDescent="0.25">
      <c r="A63" s="77">
        <v>47727</v>
      </c>
      <c r="B63" s="72">
        <v>157865.21</v>
      </c>
      <c r="C63" s="24">
        <v>6109.62</v>
      </c>
      <c r="D63" s="24">
        <v>5592.01</v>
      </c>
      <c r="E63" s="24">
        <v>517.61</v>
      </c>
      <c r="F63" s="24">
        <v>250</v>
      </c>
      <c r="G63" s="25">
        <v>6359.62</v>
      </c>
    </row>
    <row r="64" spans="1:7" x14ac:dyDescent="0.25">
      <c r="A64" s="77">
        <v>47757</v>
      </c>
      <c r="B64" s="72">
        <v>152255.49</v>
      </c>
      <c r="C64" s="24">
        <v>6109.62</v>
      </c>
      <c r="D64" s="24">
        <v>5609.71</v>
      </c>
      <c r="E64" s="24">
        <v>499.91</v>
      </c>
      <c r="F64" s="24">
        <v>250</v>
      </c>
      <c r="G64" s="25">
        <v>6359.62</v>
      </c>
    </row>
    <row r="65" spans="1:7" x14ac:dyDescent="0.25">
      <c r="A65" s="77">
        <v>47788</v>
      </c>
      <c r="B65" s="72">
        <v>146628.01</v>
      </c>
      <c r="C65" s="24">
        <v>6109.62</v>
      </c>
      <c r="D65" s="24">
        <v>5627.48</v>
      </c>
      <c r="E65" s="24">
        <v>482.14</v>
      </c>
      <c r="F65" s="24">
        <v>250</v>
      </c>
      <c r="G65" s="25">
        <v>6359.62</v>
      </c>
    </row>
    <row r="66" spans="1:7" x14ac:dyDescent="0.25">
      <c r="A66" s="77">
        <v>47818</v>
      </c>
      <c r="B66" s="72">
        <v>140982.71</v>
      </c>
      <c r="C66" s="24">
        <v>6109.62</v>
      </c>
      <c r="D66" s="24">
        <v>5645.3</v>
      </c>
      <c r="E66" s="24">
        <v>464.32</v>
      </c>
      <c r="F66" s="24">
        <v>250</v>
      </c>
      <c r="G66" s="25">
        <v>6359.62</v>
      </c>
    </row>
    <row r="67" spans="1:7" x14ac:dyDescent="0.25">
      <c r="A67" s="77">
        <v>47849</v>
      </c>
      <c r="B67" s="72">
        <v>135319.54</v>
      </c>
      <c r="C67" s="24">
        <v>6109.62</v>
      </c>
      <c r="D67" s="24">
        <v>5663.18</v>
      </c>
      <c r="E67" s="24">
        <v>446.45</v>
      </c>
      <c r="F67" s="24">
        <v>250</v>
      </c>
      <c r="G67" s="25">
        <v>6359.62</v>
      </c>
    </row>
    <row r="68" spans="1:7" x14ac:dyDescent="0.25">
      <c r="A68" s="77">
        <v>47880</v>
      </c>
      <c r="B68" s="72">
        <v>129638.43</v>
      </c>
      <c r="C68" s="24">
        <v>6109.62</v>
      </c>
      <c r="D68" s="24">
        <v>5681.11</v>
      </c>
      <c r="E68" s="24">
        <v>428.51</v>
      </c>
      <c r="F68" s="24">
        <v>250</v>
      </c>
      <c r="G68" s="25">
        <v>6359.62</v>
      </c>
    </row>
    <row r="69" spans="1:7" x14ac:dyDescent="0.25">
      <c r="A69" s="77">
        <v>47908</v>
      </c>
      <c r="B69" s="72">
        <v>123939.33</v>
      </c>
      <c r="C69" s="24">
        <v>6109.62</v>
      </c>
      <c r="D69" s="24">
        <v>5699.1</v>
      </c>
      <c r="E69" s="24">
        <v>410.52</v>
      </c>
      <c r="F69" s="24">
        <v>250</v>
      </c>
      <c r="G69" s="25">
        <v>6359.62</v>
      </c>
    </row>
    <row r="70" spans="1:7" x14ac:dyDescent="0.25">
      <c r="A70" s="77">
        <v>47939</v>
      </c>
      <c r="B70" s="72">
        <v>118222.18</v>
      </c>
      <c r="C70" s="24">
        <v>6109.62</v>
      </c>
      <c r="D70" s="24">
        <v>5717.15</v>
      </c>
      <c r="E70" s="24">
        <v>392.47</v>
      </c>
      <c r="F70" s="24">
        <v>250</v>
      </c>
      <c r="G70" s="25">
        <v>6359.62</v>
      </c>
    </row>
    <row r="71" spans="1:7" x14ac:dyDescent="0.25">
      <c r="A71" s="77">
        <v>47969</v>
      </c>
      <c r="B71" s="72">
        <v>112486.93</v>
      </c>
      <c r="C71" s="24">
        <v>6109.62</v>
      </c>
      <c r="D71" s="24">
        <v>5735.25</v>
      </c>
      <c r="E71" s="24">
        <v>374.37</v>
      </c>
      <c r="F71" s="24">
        <v>250</v>
      </c>
      <c r="G71" s="25">
        <v>6359.62</v>
      </c>
    </row>
    <row r="72" spans="1:7" x14ac:dyDescent="0.25">
      <c r="A72" s="77">
        <v>48000</v>
      </c>
      <c r="B72" s="72">
        <v>106733.52</v>
      </c>
      <c r="C72" s="24">
        <v>6109.62</v>
      </c>
      <c r="D72" s="24">
        <v>5753.41</v>
      </c>
      <c r="E72" s="24">
        <v>356.21</v>
      </c>
      <c r="F72" s="24">
        <v>250</v>
      </c>
      <c r="G72" s="25">
        <v>6359.62</v>
      </c>
    </row>
    <row r="73" spans="1:7" x14ac:dyDescent="0.25">
      <c r="A73" s="77">
        <v>48030</v>
      </c>
      <c r="B73" s="72">
        <v>100961.89</v>
      </c>
      <c r="C73" s="24">
        <v>6109.62</v>
      </c>
      <c r="D73" s="24">
        <v>5771.63</v>
      </c>
      <c r="E73" s="24">
        <v>337.99</v>
      </c>
      <c r="F73" s="24">
        <v>250</v>
      </c>
      <c r="G73" s="25">
        <v>6359.62</v>
      </c>
    </row>
    <row r="74" spans="1:7" x14ac:dyDescent="0.25">
      <c r="A74" s="77">
        <v>48061</v>
      </c>
      <c r="B74" s="72">
        <v>95171.98</v>
      </c>
      <c r="C74" s="24">
        <v>6109.62</v>
      </c>
      <c r="D74" s="24">
        <v>5789.91</v>
      </c>
      <c r="E74" s="24">
        <v>319.70999999999998</v>
      </c>
      <c r="F74" s="24">
        <v>250</v>
      </c>
      <c r="G74" s="25">
        <v>6359.62</v>
      </c>
    </row>
    <row r="75" spans="1:7" x14ac:dyDescent="0.25">
      <c r="A75" s="77">
        <v>48092</v>
      </c>
      <c r="B75" s="72">
        <v>89363.73</v>
      </c>
      <c r="C75" s="24">
        <v>6109.62</v>
      </c>
      <c r="D75" s="24">
        <v>5808.24</v>
      </c>
      <c r="E75" s="24">
        <v>301.38</v>
      </c>
      <c r="F75" s="24">
        <v>250</v>
      </c>
      <c r="G75" s="25">
        <v>6359.62</v>
      </c>
    </row>
    <row r="76" spans="1:7" x14ac:dyDescent="0.25">
      <c r="A76" s="77">
        <v>48122</v>
      </c>
      <c r="B76" s="72">
        <v>83537.100000000006</v>
      </c>
      <c r="C76" s="24">
        <v>6109.62</v>
      </c>
      <c r="D76" s="24">
        <v>5826.64</v>
      </c>
      <c r="E76" s="24">
        <v>282.99</v>
      </c>
      <c r="F76" s="24">
        <v>250</v>
      </c>
      <c r="G76" s="25">
        <v>6359.62</v>
      </c>
    </row>
    <row r="77" spans="1:7" x14ac:dyDescent="0.25">
      <c r="A77" s="77">
        <v>48153</v>
      </c>
      <c r="B77" s="72">
        <v>77692.009999999995</v>
      </c>
      <c r="C77" s="24">
        <v>6109.62</v>
      </c>
      <c r="D77" s="24">
        <v>5845.09</v>
      </c>
      <c r="E77" s="24">
        <v>264.52999999999997</v>
      </c>
      <c r="F77" s="24">
        <v>250</v>
      </c>
      <c r="G77" s="25">
        <v>6359.62</v>
      </c>
    </row>
    <row r="78" spans="1:7" x14ac:dyDescent="0.25">
      <c r="A78" s="77">
        <v>48183</v>
      </c>
      <c r="B78" s="72">
        <v>71828.42</v>
      </c>
      <c r="C78" s="24">
        <v>6109.62</v>
      </c>
      <c r="D78" s="24">
        <v>5863.6</v>
      </c>
      <c r="E78" s="24">
        <v>246.02</v>
      </c>
      <c r="F78" s="24">
        <v>250</v>
      </c>
      <c r="G78" s="25">
        <v>6359.62</v>
      </c>
    </row>
    <row r="79" spans="1:7" x14ac:dyDescent="0.25">
      <c r="A79" s="77">
        <v>48214</v>
      </c>
      <c r="B79" s="72">
        <v>65946.25</v>
      </c>
      <c r="C79" s="24">
        <v>6109.62</v>
      </c>
      <c r="D79" s="24">
        <v>5882.16</v>
      </c>
      <c r="E79" s="24">
        <v>227.46</v>
      </c>
      <c r="F79" s="24">
        <v>250</v>
      </c>
      <c r="G79" s="25">
        <v>6359.62</v>
      </c>
    </row>
    <row r="80" spans="1:7" x14ac:dyDescent="0.25">
      <c r="A80" s="77">
        <v>48245</v>
      </c>
      <c r="B80" s="72">
        <v>60045.46</v>
      </c>
      <c r="C80" s="24">
        <v>6109.62</v>
      </c>
      <c r="D80" s="24">
        <v>5900.79</v>
      </c>
      <c r="E80" s="24">
        <v>208.83</v>
      </c>
      <c r="F80" s="24">
        <v>250</v>
      </c>
      <c r="G80" s="25">
        <v>6359.62</v>
      </c>
    </row>
    <row r="81" spans="1:9" x14ac:dyDescent="0.25">
      <c r="A81" s="77">
        <v>48274</v>
      </c>
      <c r="B81" s="72">
        <v>54125.98</v>
      </c>
      <c r="C81" s="24">
        <v>6109.62</v>
      </c>
      <c r="D81" s="24">
        <v>5919.48</v>
      </c>
      <c r="E81" s="24">
        <v>190.14</v>
      </c>
      <c r="F81" s="24">
        <v>250</v>
      </c>
      <c r="G81" s="25">
        <v>6359.62</v>
      </c>
    </row>
    <row r="82" spans="1:9" x14ac:dyDescent="0.25">
      <c r="A82" s="77">
        <v>48305</v>
      </c>
      <c r="B82" s="73">
        <v>48187.76</v>
      </c>
      <c r="C82" s="24">
        <v>6109.62</v>
      </c>
      <c r="D82" s="24">
        <v>5938.22</v>
      </c>
      <c r="E82" s="24">
        <v>171.4</v>
      </c>
      <c r="F82" s="24">
        <v>250</v>
      </c>
      <c r="G82" s="25">
        <v>6359.62</v>
      </c>
    </row>
    <row r="83" spans="1:9" x14ac:dyDescent="0.25">
      <c r="A83" s="77">
        <v>48335</v>
      </c>
      <c r="B83" s="73">
        <v>42230.73</v>
      </c>
      <c r="C83" s="24">
        <v>6109.62</v>
      </c>
      <c r="D83" s="24">
        <v>5957.03</v>
      </c>
      <c r="E83" s="24">
        <v>152.59</v>
      </c>
      <c r="F83" s="24">
        <v>250</v>
      </c>
      <c r="G83" s="25">
        <v>6359.62</v>
      </c>
    </row>
    <row r="84" spans="1:9" x14ac:dyDescent="0.25">
      <c r="A84" s="77">
        <v>48366</v>
      </c>
      <c r="B84" s="73">
        <v>36254.839999999997</v>
      </c>
      <c r="C84" s="24">
        <v>6109.62</v>
      </c>
      <c r="D84" s="24">
        <v>5975.89</v>
      </c>
      <c r="E84" s="24">
        <v>133.72999999999999</v>
      </c>
      <c r="F84" s="24">
        <v>250</v>
      </c>
      <c r="G84" s="25">
        <v>6359.62</v>
      </c>
    </row>
    <row r="85" spans="1:9" x14ac:dyDescent="0.25">
      <c r="A85" s="77">
        <v>48396</v>
      </c>
      <c r="B85" s="73">
        <v>30260.03</v>
      </c>
      <c r="C85" s="24">
        <v>6109.62</v>
      </c>
      <c r="D85" s="24">
        <v>5994.81</v>
      </c>
      <c r="E85" s="24">
        <v>114.81</v>
      </c>
      <c r="F85" s="24">
        <v>250</v>
      </c>
      <c r="G85" s="25">
        <v>6359.62</v>
      </c>
    </row>
    <row r="86" spans="1:9" x14ac:dyDescent="0.25">
      <c r="A86" s="77">
        <v>48427</v>
      </c>
      <c r="B86" s="73">
        <v>24246.23</v>
      </c>
      <c r="C86" s="24">
        <v>6109.62</v>
      </c>
      <c r="D86" s="24">
        <v>6013.8</v>
      </c>
      <c r="E86" s="24">
        <v>95.82</v>
      </c>
      <c r="F86" s="24">
        <v>250</v>
      </c>
      <c r="G86" s="25">
        <v>6359.62</v>
      </c>
    </row>
    <row r="87" spans="1:9" x14ac:dyDescent="0.25">
      <c r="A87" s="77">
        <v>48458</v>
      </c>
      <c r="B87" s="73">
        <v>18213.39</v>
      </c>
      <c r="C87" s="24">
        <v>6109.62</v>
      </c>
      <c r="D87" s="24">
        <v>6032.84</v>
      </c>
      <c r="E87" s="24">
        <v>76.78</v>
      </c>
      <c r="F87" s="24">
        <v>250</v>
      </c>
      <c r="G87" s="25">
        <v>6359.62</v>
      </c>
    </row>
    <row r="88" spans="1:9" x14ac:dyDescent="0.25">
      <c r="A88" s="77">
        <v>48488</v>
      </c>
      <c r="B88" s="73">
        <v>12161.44</v>
      </c>
      <c r="C88" s="24">
        <v>6109.62</v>
      </c>
      <c r="D88" s="24">
        <v>6051.95</v>
      </c>
      <c r="E88" s="24">
        <v>57.68</v>
      </c>
      <c r="F88" s="24">
        <v>250</v>
      </c>
      <c r="G88" s="25">
        <v>6359.62</v>
      </c>
    </row>
    <row r="89" spans="1:9" x14ac:dyDescent="0.25">
      <c r="A89" s="77">
        <v>48519</v>
      </c>
      <c r="B89" s="73">
        <v>6090.34</v>
      </c>
      <c r="C89" s="24">
        <v>6109.62</v>
      </c>
      <c r="D89" s="24">
        <v>6071.11</v>
      </c>
      <c r="E89" s="24">
        <v>38.51</v>
      </c>
      <c r="F89" s="24">
        <v>250</v>
      </c>
      <c r="G89" s="25">
        <v>6359.62</v>
      </c>
    </row>
    <row r="90" spans="1:9" ht="15.75" thickBot="1" x14ac:dyDescent="0.3">
      <c r="A90" s="77">
        <v>48549</v>
      </c>
      <c r="B90" s="74">
        <v>0</v>
      </c>
      <c r="C90" s="26">
        <v>6109.62</v>
      </c>
      <c r="D90" s="26">
        <v>6090.34</v>
      </c>
      <c r="E90" s="26">
        <v>19.29</v>
      </c>
      <c r="F90" s="26">
        <v>250</v>
      </c>
      <c r="G90" s="27">
        <v>6359.62</v>
      </c>
    </row>
    <row r="92" spans="1:9" x14ac:dyDescent="0.25">
      <c r="A92" s="83"/>
      <c r="B92" s="84"/>
      <c r="C92" s="34"/>
      <c r="D92" s="34"/>
      <c r="E92" s="34"/>
      <c r="F92" s="34"/>
      <c r="G92" s="34"/>
      <c r="H92" s="34"/>
    </row>
    <row r="93" spans="1:9" x14ac:dyDescent="0.25">
      <c r="A93" s="83">
        <v>1</v>
      </c>
      <c r="B93" s="84">
        <v>43466</v>
      </c>
      <c r="C93" s="34" t="s">
        <v>118</v>
      </c>
      <c r="D93" s="34" t="s">
        <v>119</v>
      </c>
      <c r="E93" s="34" t="s">
        <v>120</v>
      </c>
      <c r="F93" s="34" t="s">
        <v>121</v>
      </c>
      <c r="G93" s="34" t="s">
        <v>122</v>
      </c>
      <c r="H93" s="34" t="s">
        <v>123</v>
      </c>
    </row>
    <row r="94" spans="1:9" x14ac:dyDescent="0.25">
      <c r="A94" s="83">
        <v>2</v>
      </c>
      <c r="B94" s="84">
        <v>43497</v>
      </c>
      <c r="C94" s="34" t="s">
        <v>124</v>
      </c>
      <c r="D94" s="34" t="s">
        <v>119</v>
      </c>
      <c r="E94" s="34" t="s">
        <v>125</v>
      </c>
      <c r="F94" s="34" t="s">
        <v>126</v>
      </c>
      <c r="G94" s="34" t="s">
        <v>122</v>
      </c>
      <c r="H94" s="34" t="s">
        <v>123</v>
      </c>
      <c r="I94" s="57"/>
    </row>
    <row r="95" spans="1:9" x14ac:dyDescent="0.25">
      <c r="A95" s="83">
        <v>3</v>
      </c>
      <c r="B95" s="84">
        <v>43525</v>
      </c>
      <c r="C95" s="34" t="s">
        <v>127</v>
      </c>
      <c r="D95" s="34" t="s">
        <v>119</v>
      </c>
      <c r="E95" s="34" t="s">
        <v>128</v>
      </c>
      <c r="F95" s="34" t="s">
        <v>129</v>
      </c>
      <c r="G95" s="34" t="s">
        <v>122</v>
      </c>
      <c r="H95" s="34" t="s">
        <v>123</v>
      </c>
      <c r="I95" s="34"/>
    </row>
    <row r="96" spans="1:9" x14ac:dyDescent="0.25">
      <c r="A96" s="83">
        <v>4</v>
      </c>
      <c r="B96" s="84">
        <v>43556</v>
      </c>
      <c r="C96" s="34" t="s">
        <v>130</v>
      </c>
      <c r="D96" s="34" t="s">
        <v>119</v>
      </c>
      <c r="E96" s="34" t="s">
        <v>131</v>
      </c>
      <c r="F96" s="34" t="s">
        <v>132</v>
      </c>
      <c r="G96" s="34" t="s">
        <v>122</v>
      </c>
      <c r="H96" s="34" t="s">
        <v>123</v>
      </c>
      <c r="I96" s="34"/>
    </row>
    <row r="97" spans="1:9" x14ac:dyDescent="0.25">
      <c r="A97" s="83">
        <v>5</v>
      </c>
      <c r="B97" s="84">
        <v>43586</v>
      </c>
      <c r="C97" s="34" t="s">
        <v>133</v>
      </c>
      <c r="D97" s="34" t="s">
        <v>119</v>
      </c>
      <c r="E97" s="34" t="s">
        <v>134</v>
      </c>
      <c r="F97" s="34" t="s">
        <v>135</v>
      </c>
      <c r="G97" s="34" t="s">
        <v>122</v>
      </c>
      <c r="H97" s="34" t="s">
        <v>123</v>
      </c>
      <c r="I97" s="34"/>
    </row>
    <row r="98" spans="1:9" x14ac:dyDescent="0.25">
      <c r="A98" s="83">
        <v>6</v>
      </c>
      <c r="B98" s="84">
        <v>43617</v>
      </c>
      <c r="C98" s="34" t="s">
        <v>136</v>
      </c>
      <c r="D98" s="34" t="s">
        <v>119</v>
      </c>
      <c r="E98" s="34" t="s">
        <v>137</v>
      </c>
      <c r="F98" s="34" t="s">
        <v>138</v>
      </c>
      <c r="G98" s="34" t="s">
        <v>122</v>
      </c>
      <c r="H98" s="34" t="s">
        <v>123</v>
      </c>
      <c r="I98" s="34"/>
    </row>
    <row r="99" spans="1:9" x14ac:dyDescent="0.25">
      <c r="A99" s="83">
        <v>7</v>
      </c>
      <c r="B99" s="84">
        <v>43647</v>
      </c>
      <c r="C99" s="34" t="s">
        <v>139</v>
      </c>
      <c r="D99" s="34" t="s">
        <v>119</v>
      </c>
      <c r="E99" s="34" t="s">
        <v>140</v>
      </c>
      <c r="F99" s="34" t="s">
        <v>141</v>
      </c>
      <c r="G99" s="34" t="s">
        <v>122</v>
      </c>
      <c r="H99" s="34" t="s">
        <v>123</v>
      </c>
      <c r="I99" s="34"/>
    </row>
    <row r="100" spans="1:9" x14ac:dyDescent="0.25">
      <c r="A100" s="83">
        <v>8</v>
      </c>
      <c r="B100" s="84">
        <v>43678</v>
      </c>
      <c r="C100" s="34" t="s">
        <v>142</v>
      </c>
      <c r="D100" s="34" t="s">
        <v>119</v>
      </c>
      <c r="E100" s="34" t="s">
        <v>143</v>
      </c>
      <c r="F100" s="34" t="s">
        <v>144</v>
      </c>
      <c r="G100" s="34" t="s">
        <v>122</v>
      </c>
      <c r="H100" s="34" t="s">
        <v>123</v>
      </c>
      <c r="I100" s="34"/>
    </row>
    <row r="101" spans="1:9" x14ac:dyDescent="0.25">
      <c r="A101" s="83">
        <v>9</v>
      </c>
      <c r="B101" s="84">
        <v>43709</v>
      </c>
      <c r="C101" s="34" t="s">
        <v>145</v>
      </c>
      <c r="D101" s="34" t="s">
        <v>119</v>
      </c>
      <c r="E101" s="34" t="s">
        <v>146</v>
      </c>
      <c r="F101" s="34" t="s">
        <v>147</v>
      </c>
      <c r="G101" s="34" t="s">
        <v>122</v>
      </c>
      <c r="H101" s="34" t="s">
        <v>123</v>
      </c>
      <c r="I101" s="34"/>
    </row>
    <row r="102" spans="1:9" x14ac:dyDescent="0.25">
      <c r="A102" s="83">
        <v>10</v>
      </c>
      <c r="B102" s="84">
        <v>43739</v>
      </c>
      <c r="C102" s="34" t="s">
        <v>148</v>
      </c>
      <c r="D102" s="34" t="s">
        <v>119</v>
      </c>
      <c r="E102" s="34" t="s">
        <v>149</v>
      </c>
      <c r="F102" s="34" t="s">
        <v>150</v>
      </c>
      <c r="G102" s="34" t="s">
        <v>122</v>
      </c>
      <c r="H102" s="34" t="s">
        <v>123</v>
      </c>
      <c r="I102" s="34"/>
    </row>
    <row r="103" spans="1:9" x14ac:dyDescent="0.25">
      <c r="A103" s="83">
        <v>11</v>
      </c>
      <c r="B103" s="84">
        <v>43770</v>
      </c>
      <c r="C103" s="34" t="s">
        <v>151</v>
      </c>
      <c r="D103" s="34" t="s">
        <v>119</v>
      </c>
      <c r="E103" s="34" t="s">
        <v>152</v>
      </c>
      <c r="F103" s="34" t="s">
        <v>153</v>
      </c>
      <c r="G103" s="34" t="s">
        <v>122</v>
      </c>
      <c r="H103" s="34" t="s">
        <v>123</v>
      </c>
      <c r="I103" s="34"/>
    </row>
    <row r="104" spans="1:9" x14ac:dyDescent="0.25">
      <c r="A104" s="83">
        <v>12</v>
      </c>
      <c r="B104" s="84">
        <v>43800</v>
      </c>
      <c r="C104" s="34" t="s">
        <v>154</v>
      </c>
      <c r="D104" s="34" t="s">
        <v>119</v>
      </c>
      <c r="E104" s="34" t="s">
        <v>155</v>
      </c>
      <c r="F104" s="34" t="s">
        <v>156</v>
      </c>
      <c r="G104" s="34" t="s">
        <v>122</v>
      </c>
      <c r="H104" s="34" t="s">
        <v>123</v>
      </c>
      <c r="I104" s="34"/>
    </row>
    <row r="105" spans="1:9" x14ac:dyDescent="0.25">
      <c r="A105" s="83">
        <v>13</v>
      </c>
      <c r="B105" s="84">
        <v>43831</v>
      </c>
      <c r="C105" s="34" t="s">
        <v>157</v>
      </c>
      <c r="D105" s="34" t="s">
        <v>119</v>
      </c>
      <c r="E105" s="34" t="s">
        <v>158</v>
      </c>
      <c r="F105" s="34" t="s">
        <v>159</v>
      </c>
      <c r="G105" s="34" t="s">
        <v>122</v>
      </c>
      <c r="H105" s="34" t="s">
        <v>123</v>
      </c>
      <c r="I105" s="34"/>
    </row>
    <row r="106" spans="1:9" x14ac:dyDescent="0.25">
      <c r="A106" s="83">
        <v>14</v>
      </c>
      <c r="B106" s="84">
        <v>43862</v>
      </c>
      <c r="C106" s="34" t="s">
        <v>160</v>
      </c>
      <c r="D106" s="34" t="s">
        <v>119</v>
      </c>
      <c r="E106" s="34" t="s">
        <v>161</v>
      </c>
      <c r="F106" s="34" t="s">
        <v>162</v>
      </c>
      <c r="G106" s="34" t="s">
        <v>122</v>
      </c>
      <c r="H106" s="34" t="s">
        <v>123</v>
      </c>
      <c r="I106" s="34"/>
    </row>
    <row r="107" spans="1:9" x14ac:dyDescent="0.25">
      <c r="A107" s="83">
        <v>15</v>
      </c>
      <c r="B107" s="84">
        <v>43891</v>
      </c>
      <c r="C107" s="34" t="s">
        <v>163</v>
      </c>
      <c r="D107" s="34" t="s">
        <v>119</v>
      </c>
      <c r="E107" s="34" t="s">
        <v>164</v>
      </c>
      <c r="F107" s="34" t="s">
        <v>165</v>
      </c>
      <c r="G107" s="34" t="s">
        <v>122</v>
      </c>
      <c r="H107" s="34" t="s">
        <v>123</v>
      </c>
      <c r="I107" s="34"/>
    </row>
    <row r="108" spans="1:9" x14ac:dyDescent="0.25">
      <c r="A108" s="83">
        <v>16</v>
      </c>
      <c r="B108" s="84">
        <v>43922</v>
      </c>
      <c r="C108" s="34" t="s">
        <v>166</v>
      </c>
      <c r="D108" s="34" t="s">
        <v>119</v>
      </c>
      <c r="E108" s="34" t="s">
        <v>167</v>
      </c>
      <c r="F108" s="34" t="s">
        <v>168</v>
      </c>
      <c r="G108" s="34" t="s">
        <v>122</v>
      </c>
      <c r="H108" s="34" t="s">
        <v>123</v>
      </c>
      <c r="I108" s="34"/>
    </row>
    <row r="109" spans="1:9" x14ac:dyDescent="0.25">
      <c r="A109" s="83">
        <v>17</v>
      </c>
      <c r="B109" s="84">
        <v>43952</v>
      </c>
      <c r="C109" s="34" t="s">
        <v>169</v>
      </c>
      <c r="D109" s="34" t="s">
        <v>119</v>
      </c>
      <c r="E109" s="34" t="s">
        <v>170</v>
      </c>
      <c r="F109" s="34" t="s">
        <v>171</v>
      </c>
      <c r="G109" s="34" t="s">
        <v>122</v>
      </c>
      <c r="H109" s="34" t="s">
        <v>123</v>
      </c>
      <c r="I109" s="34"/>
    </row>
    <row r="110" spans="1:9" x14ac:dyDescent="0.25">
      <c r="A110" s="83">
        <v>18</v>
      </c>
      <c r="B110" s="84">
        <v>43983</v>
      </c>
      <c r="C110" s="34" t="s">
        <v>172</v>
      </c>
      <c r="D110" s="34" t="s">
        <v>119</v>
      </c>
      <c r="E110" s="34" t="s">
        <v>173</v>
      </c>
      <c r="F110" s="34" t="s">
        <v>174</v>
      </c>
      <c r="G110" s="34" t="s">
        <v>122</v>
      </c>
      <c r="H110" s="34" t="s">
        <v>123</v>
      </c>
      <c r="I110" s="34"/>
    </row>
    <row r="111" spans="1:9" x14ac:dyDescent="0.25">
      <c r="A111" s="83">
        <v>19</v>
      </c>
      <c r="B111" s="84">
        <v>44013</v>
      </c>
      <c r="C111" s="34" t="s">
        <v>175</v>
      </c>
      <c r="D111" s="34" t="s">
        <v>119</v>
      </c>
      <c r="E111" s="34" t="s">
        <v>176</v>
      </c>
      <c r="F111" s="34" t="s">
        <v>177</v>
      </c>
      <c r="G111" s="34" t="s">
        <v>122</v>
      </c>
      <c r="H111" s="34" t="s">
        <v>123</v>
      </c>
      <c r="I111" s="34"/>
    </row>
    <row r="112" spans="1:9" x14ac:dyDescent="0.25">
      <c r="A112" s="83">
        <v>20</v>
      </c>
      <c r="B112" s="84">
        <v>44044</v>
      </c>
      <c r="C112" s="34" t="s">
        <v>178</v>
      </c>
      <c r="D112" s="34" t="s">
        <v>119</v>
      </c>
      <c r="E112" s="34" t="s">
        <v>179</v>
      </c>
      <c r="F112" s="34" t="s">
        <v>180</v>
      </c>
      <c r="G112" s="34" t="s">
        <v>122</v>
      </c>
      <c r="H112" s="34" t="s">
        <v>123</v>
      </c>
      <c r="I112" s="34"/>
    </row>
    <row r="113" spans="1:9" x14ac:dyDescent="0.25">
      <c r="A113" s="83">
        <v>21</v>
      </c>
      <c r="B113" s="84">
        <v>44075</v>
      </c>
      <c r="C113" s="34" t="s">
        <v>181</v>
      </c>
      <c r="D113" s="34" t="s">
        <v>119</v>
      </c>
      <c r="E113" s="34" t="s">
        <v>182</v>
      </c>
      <c r="F113" s="34" t="s">
        <v>183</v>
      </c>
      <c r="G113" s="34" t="s">
        <v>122</v>
      </c>
      <c r="H113" s="34" t="s">
        <v>123</v>
      </c>
      <c r="I113" s="34"/>
    </row>
    <row r="114" spans="1:9" x14ac:dyDescent="0.25">
      <c r="A114" s="83">
        <v>22</v>
      </c>
      <c r="B114" s="84">
        <v>44105</v>
      </c>
      <c r="C114" s="34" t="s">
        <v>184</v>
      </c>
      <c r="D114" s="34" t="s">
        <v>119</v>
      </c>
      <c r="E114" s="34" t="s">
        <v>185</v>
      </c>
      <c r="F114" s="34" t="s">
        <v>186</v>
      </c>
      <c r="G114" s="34" t="s">
        <v>122</v>
      </c>
      <c r="H114" s="34" t="s">
        <v>123</v>
      </c>
      <c r="I114" s="34"/>
    </row>
    <row r="115" spans="1:9" x14ac:dyDescent="0.25">
      <c r="A115" s="83">
        <v>23</v>
      </c>
      <c r="B115" s="84">
        <v>44136</v>
      </c>
      <c r="C115" s="34" t="s">
        <v>187</v>
      </c>
      <c r="D115" s="34" t="s">
        <v>119</v>
      </c>
      <c r="E115" s="34" t="s">
        <v>188</v>
      </c>
      <c r="F115" s="34" t="s">
        <v>189</v>
      </c>
      <c r="G115" s="34" t="s">
        <v>122</v>
      </c>
      <c r="H115" s="34" t="s">
        <v>123</v>
      </c>
      <c r="I115" s="34"/>
    </row>
    <row r="116" spans="1:9" x14ac:dyDescent="0.25">
      <c r="A116" s="83">
        <v>24</v>
      </c>
      <c r="B116" s="84">
        <v>44166</v>
      </c>
      <c r="C116" s="34" t="s">
        <v>190</v>
      </c>
      <c r="D116" s="34" t="s">
        <v>119</v>
      </c>
      <c r="E116" s="34" t="s">
        <v>191</v>
      </c>
      <c r="F116" s="34" t="s">
        <v>192</v>
      </c>
      <c r="G116" s="34" t="s">
        <v>122</v>
      </c>
      <c r="H116" s="34" t="s">
        <v>123</v>
      </c>
      <c r="I116" s="34"/>
    </row>
    <row r="117" spans="1:9" x14ac:dyDescent="0.25">
      <c r="A117" s="83">
        <v>25</v>
      </c>
      <c r="B117" s="84">
        <v>44197</v>
      </c>
      <c r="C117" s="34" t="s">
        <v>193</v>
      </c>
      <c r="D117" s="34" t="s">
        <v>119</v>
      </c>
      <c r="E117" s="34" t="s">
        <v>194</v>
      </c>
      <c r="F117" s="34" t="s">
        <v>195</v>
      </c>
      <c r="G117" s="34" t="s">
        <v>122</v>
      </c>
      <c r="H117" s="34" t="s">
        <v>123</v>
      </c>
      <c r="I117" s="34"/>
    </row>
    <row r="118" spans="1:9" x14ac:dyDescent="0.25">
      <c r="A118" s="83">
        <v>26</v>
      </c>
      <c r="B118" s="84">
        <v>44228</v>
      </c>
      <c r="C118" s="34" t="s">
        <v>196</v>
      </c>
      <c r="D118" s="34" t="s">
        <v>119</v>
      </c>
      <c r="E118" s="34" t="s">
        <v>197</v>
      </c>
      <c r="F118" s="34" t="s">
        <v>198</v>
      </c>
      <c r="G118" s="34" t="s">
        <v>122</v>
      </c>
      <c r="H118" s="34" t="s">
        <v>123</v>
      </c>
      <c r="I118" s="34"/>
    </row>
    <row r="119" spans="1:9" x14ac:dyDescent="0.25">
      <c r="A119" s="83">
        <v>27</v>
      </c>
      <c r="B119" s="84">
        <v>44256</v>
      </c>
      <c r="C119" s="34" t="s">
        <v>199</v>
      </c>
      <c r="D119" s="34" t="s">
        <v>119</v>
      </c>
      <c r="E119" s="34" t="s">
        <v>200</v>
      </c>
      <c r="F119" s="34" t="s">
        <v>201</v>
      </c>
      <c r="G119" s="34" t="s">
        <v>122</v>
      </c>
      <c r="H119" s="34" t="s">
        <v>123</v>
      </c>
      <c r="I119" s="34"/>
    </row>
    <row r="120" spans="1:9" x14ac:dyDescent="0.25">
      <c r="A120" s="83">
        <v>28</v>
      </c>
      <c r="B120" s="84">
        <v>44287</v>
      </c>
      <c r="C120" s="34" t="s">
        <v>202</v>
      </c>
      <c r="D120" s="34" t="s">
        <v>119</v>
      </c>
      <c r="E120" s="34" t="s">
        <v>203</v>
      </c>
      <c r="F120" s="34" t="s">
        <v>204</v>
      </c>
      <c r="G120" s="34" t="s">
        <v>122</v>
      </c>
      <c r="H120" s="34" t="s">
        <v>123</v>
      </c>
      <c r="I120" s="34"/>
    </row>
    <row r="121" spans="1:9" x14ac:dyDescent="0.25">
      <c r="A121" s="83">
        <v>29</v>
      </c>
      <c r="B121" s="84">
        <v>44317</v>
      </c>
      <c r="C121" s="34" t="s">
        <v>205</v>
      </c>
      <c r="D121" s="34" t="s">
        <v>119</v>
      </c>
      <c r="E121" s="34" t="s">
        <v>206</v>
      </c>
      <c r="F121" s="34" t="s">
        <v>207</v>
      </c>
      <c r="G121" s="34" t="s">
        <v>122</v>
      </c>
      <c r="H121" s="34" t="s">
        <v>123</v>
      </c>
      <c r="I121" s="34"/>
    </row>
    <row r="122" spans="1:9" x14ac:dyDescent="0.25">
      <c r="A122" s="83">
        <v>30</v>
      </c>
      <c r="B122" s="84">
        <v>44348</v>
      </c>
      <c r="C122" s="34" t="s">
        <v>208</v>
      </c>
      <c r="D122" s="34" t="s">
        <v>119</v>
      </c>
      <c r="E122" s="34" t="s">
        <v>209</v>
      </c>
      <c r="F122" s="34" t="s">
        <v>210</v>
      </c>
      <c r="G122" s="34" t="s">
        <v>122</v>
      </c>
      <c r="H122" s="34" t="s">
        <v>123</v>
      </c>
      <c r="I122" s="34"/>
    </row>
    <row r="123" spans="1:9" x14ac:dyDescent="0.25">
      <c r="A123" s="83">
        <v>31</v>
      </c>
      <c r="B123" s="84">
        <v>44378</v>
      </c>
      <c r="C123" s="34" t="s">
        <v>211</v>
      </c>
      <c r="D123" s="34" t="s">
        <v>119</v>
      </c>
      <c r="E123" s="34" t="s">
        <v>212</v>
      </c>
      <c r="F123" s="34" t="s">
        <v>213</v>
      </c>
      <c r="G123" s="34" t="s">
        <v>122</v>
      </c>
      <c r="H123" s="34" t="s">
        <v>123</v>
      </c>
      <c r="I123" s="34"/>
    </row>
    <row r="124" spans="1:9" x14ac:dyDescent="0.25">
      <c r="A124" s="83">
        <v>32</v>
      </c>
      <c r="B124" s="84">
        <v>44409</v>
      </c>
      <c r="C124" s="34" t="s">
        <v>214</v>
      </c>
      <c r="D124" s="34" t="s">
        <v>119</v>
      </c>
      <c r="E124" s="34" t="s">
        <v>215</v>
      </c>
      <c r="F124" s="34" t="s">
        <v>216</v>
      </c>
      <c r="G124" s="34" t="s">
        <v>122</v>
      </c>
      <c r="H124" s="34" t="s">
        <v>123</v>
      </c>
      <c r="I124" s="34"/>
    </row>
    <row r="125" spans="1:9" x14ac:dyDescent="0.25">
      <c r="A125" s="83">
        <v>33</v>
      </c>
      <c r="B125" s="84">
        <v>44440</v>
      </c>
      <c r="C125" s="34" t="s">
        <v>217</v>
      </c>
      <c r="D125" s="34" t="s">
        <v>119</v>
      </c>
      <c r="E125" s="34" t="s">
        <v>218</v>
      </c>
      <c r="F125" s="34" t="s">
        <v>219</v>
      </c>
      <c r="G125" s="34" t="s">
        <v>122</v>
      </c>
      <c r="H125" s="34" t="s">
        <v>123</v>
      </c>
      <c r="I125" s="34"/>
    </row>
    <row r="126" spans="1:9" x14ac:dyDescent="0.25">
      <c r="A126" s="83">
        <v>34</v>
      </c>
      <c r="B126" s="84">
        <v>44470</v>
      </c>
      <c r="C126" s="34" t="s">
        <v>220</v>
      </c>
      <c r="D126" s="34" t="s">
        <v>119</v>
      </c>
      <c r="E126" s="34" t="s">
        <v>221</v>
      </c>
      <c r="F126" s="34" t="s">
        <v>222</v>
      </c>
      <c r="G126" s="34" t="s">
        <v>122</v>
      </c>
      <c r="H126" s="34" t="s">
        <v>123</v>
      </c>
      <c r="I126" s="34"/>
    </row>
    <row r="127" spans="1:9" x14ac:dyDescent="0.25">
      <c r="A127" s="83">
        <v>35</v>
      </c>
      <c r="B127" s="84">
        <v>44501</v>
      </c>
      <c r="C127" s="34" t="s">
        <v>223</v>
      </c>
      <c r="D127" s="34" t="s">
        <v>119</v>
      </c>
      <c r="E127" s="34" t="s">
        <v>224</v>
      </c>
      <c r="F127" s="34" t="s">
        <v>225</v>
      </c>
      <c r="G127" s="34" t="s">
        <v>122</v>
      </c>
      <c r="H127" s="34" t="s">
        <v>123</v>
      </c>
      <c r="I127" s="34"/>
    </row>
    <row r="128" spans="1:9" x14ac:dyDescent="0.25">
      <c r="A128" s="83">
        <v>36</v>
      </c>
      <c r="B128" s="84">
        <v>44531</v>
      </c>
      <c r="C128" s="34" t="s">
        <v>226</v>
      </c>
      <c r="D128" s="34" t="s">
        <v>119</v>
      </c>
      <c r="E128" s="34" t="s">
        <v>227</v>
      </c>
      <c r="F128" s="34" t="s">
        <v>228</v>
      </c>
      <c r="G128" s="34" t="s">
        <v>122</v>
      </c>
      <c r="H128" s="34" t="s">
        <v>123</v>
      </c>
      <c r="I128" s="34"/>
    </row>
    <row r="129" spans="1:9" x14ac:dyDescent="0.25">
      <c r="A129" s="83">
        <v>37</v>
      </c>
      <c r="B129" s="84">
        <v>44562</v>
      </c>
      <c r="C129" s="34" t="s">
        <v>229</v>
      </c>
      <c r="D129" s="34" t="s">
        <v>119</v>
      </c>
      <c r="E129" s="34" t="s">
        <v>230</v>
      </c>
      <c r="F129" s="34" t="s">
        <v>231</v>
      </c>
      <c r="G129" s="34" t="s">
        <v>122</v>
      </c>
      <c r="H129" s="34" t="s">
        <v>123</v>
      </c>
      <c r="I129" s="34"/>
    </row>
    <row r="130" spans="1:9" x14ac:dyDescent="0.25">
      <c r="A130" s="83">
        <v>38</v>
      </c>
      <c r="B130" s="84">
        <v>44593</v>
      </c>
      <c r="C130" s="34" t="s">
        <v>232</v>
      </c>
      <c r="D130" s="34" t="s">
        <v>119</v>
      </c>
      <c r="E130" s="34" t="s">
        <v>233</v>
      </c>
      <c r="F130" s="34" t="s">
        <v>234</v>
      </c>
      <c r="G130" s="34" t="s">
        <v>122</v>
      </c>
      <c r="H130" s="34" t="s">
        <v>123</v>
      </c>
      <c r="I130" s="34"/>
    </row>
    <row r="131" spans="1:9" x14ac:dyDescent="0.25">
      <c r="A131" s="83">
        <v>39</v>
      </c>
      <c r="B131" s="84">
        <v>44621</v>
      </c>
      <c r="C131" s="34" t="s">
        <v>235</v>
      </c>
      <c r="D131" s="34" t="s">
        <v>119</v>
      </c>
      <c r="E131" s="34" t="s">
        <v>236</v>
      </c>
      <c r="F131" s="34" t="s">
        <v>237</v>
      </c>
      <c r="G131" s="34" t="s">
        <v>122</v>
      </c>
      <c r="H131" s="34" t="s">
        <v>123</v>
      </c>
      <c r="I131" s="34"/>
    </row>
    <row r="132" spans="1:9" x14ac:dyDescent="0.25">
      <c r="A132" s="83">
        <v>40</v>
      </c>
      <c r="B132" s="84">
        <v>44652</v>
      </c>
      <c r="C132" s="34" t="s">
        <v>238</v>
      </c>
      <c r="D132" s="34" t="s">
        <v>119</v>
      </c>
      <c r="E132" s="34" t="s">
        <v>239</v>
      </c>
      <c r="F132" s="34" t="s">
        <v>240</v>
      </c>
      <c r="G132" s="34" t="s">
        <v>122</v>
      </c>
      <c r="H132" s="34" t="s">
        <v>123</v>
      </c>
      <c r="I132" s="34"/>
    </row>
    <row r="133" spans="1:9" x14ac:dyDescent="0.25">
      <c r="A133" s="83">
        <v>41</v>
      </c>
      <c r="B133" s="84">
        <v>44682</v>
      </c>
      <c r="C133" s="34" t="s">
        <v>241</v>
      </c>
      <c r="D133" s="34" t="s">
        <v>119</v>
      </c>
      <c r="E133" s="34" t="s">
        <v>242</v>
      </c>
      <c r="F133" s="34" t="s">
        <v>243</v>
      </c>
      <c r="G133" s="34" t="s">
        <v>122</v>
      </c>
      <c r="H133" s="34" t="s">
        <v>123</v>
      </c>
      <c r="I133" s="34"/>
    </row>
    <row r="134" spans="1:9" x14ac:dyDescent="0.25">
      <c r="A134" s="83">
        <v>42</v>
      </c>
      <c r="B134" s="84">
        <v>44713</v>
      </c>
      <c r="C134" s="34" t="s">
        <v>244</v>
      </c>
      <c r="D134" s="34" t="s">
        <v>119</v>
      </c>
      <c r="E134" s="34" t="s">
        <v>245</v>
      </c>
      <c r="F134" s="34" t="s">
        <v>246</v>
      </c>
      <c r="G134" s="34" t="s">
        <v>122</v>
      </c>
      <c r="H134" s="34" t="s">
        <v>123</v>
      </c>
      <c r="I134" s="34"/>
    </row>
    <row r="135" spans="1:9" x14ac:dyDescent="0.25">
      <c r="A135" s="83">
        <v>43</v>
      </c>
      <c r="B135" s="84">
        <v>44743</v>
      </c>
      <c r="C135" s="34" t="s">
        <v>247</v>
      </c>
      <c r="D135" s="34" t="s">
        <v>119</v>
      </c>
      <c r="E135" s="34" t="s">
        <v>248</v>
      </c>
      <c r="F135" s="34" t="s">
        <v>249</v>
      </c>
      <c r="G135" s="34" t="s">
        <v>122</v>
      </c>
      <c r="H135" s="34" t="s">
        <v>123</v>
      </c>
      <c r="I135" s="34"/>
    </row>
    <row r="136" spans="1:9" x14ac:dyDescent="0.25">
      <c r="A136" s="83">
        <v>44</v>
      </c>
      <c r="B136" s="84">
        <v>44774</v>
      </c>
      <c r="C136" s="34" t="s">
        <v>250</v>
      </c>
      <c r="D136" s="34" t="s">
        <v>119</v>
      </c>
      <c r="E136" s="34" t="s">
        <v>251</v>
      </c>
      <c r="F136" s="34" t="s">
        <v>252</v>
      </c>
      <c r="G136" s="34" t="s">
        <v>122</v>
      </c>
      <c r="H136" s="34" t="s">
        <v>123</v>
      </c>
      <c r="I136" s="34"/>
    </row>
    <row r="137" spans="1:9" x14ac:dyDescent="0.25">
      <c r="A137" s="83">
        <v>45</v>
      </c>
      <c r="B137" s="84">
        <v>44805</v>
      </c>
      <c r="C137" s="34" t="s">
        <v>253</v>
      </c>
      <c r="D137" s="34" t="s">
        <v>119</v>
      </c>
      <c r="E137" s="34" t="s">
        <v>254</v>
      </c>
      <c r="F137" s="34" t="s">
        <v>255</v>
      </c>
      <c r="G137" s="34" t="s">
        <v>122</v>
      </c>
      <c r="H137" s="34" t="s">
        <v>123</v>
      </c>
      <c r="I137" s="34"/>
    </row>
    <row r="138" spans="1:9" x14ac:dyDescent="0.25">
      <c r="A138" s="83">
        <v>46</v>
      </c>
      <c r="B138" s="84">
        <v>44835</v>
      </c>
      <c r="C138" s="34" t="s">
        <v>256</v>
      </c>
      <c r="D138" s="34" t="s">
        <v>119</v>
      </c>
      <c r="E138" s="34" t="s">
        <v>257</v>
      </c>
      <c r="F138" s="34" t="s">
        <v>258</v>
      </c>
      <c r="G138" s="34" t="s">
        <v>122</v>
      </c>
      <c r="H138" s="34" t="s">
        <v>123</v>
      </c>
      <c r="I138" s="34"/>
    </row>
    <row r="139" spans="1:9" x14ac:dyDescent="0.25">
      <c r="A139" s="83">
        <v>47</v>
      </c>
      <c r="B139" s="84">
        <v>44866</v>
      </c>
      <c r="C139" s="34" t="s">
        <v>259</v>
      </c>
      <c r="D139" s="34" t="s">
        <v>119</v>
      </c>
      <c r="E139" s="34" t="s">
        <v>260</v>
      </c>
      <c r="F139" s="34" t="s">
        <v>261</v>
      </c>
      <c r="G139" s="34" t="s">
        <v>122</v>
      </c>
      <c r="H139" s="34" t="s">
        <v>123</v>
      </c>
      <c r="I139" s="34"/>
    </row>
    <row r="140" spans="1:9" x14ac:dyDescent="0.25">
      <c r="A140" s="83">
        <v>48</v>
      </c>
      <c r="B140" s="84">
        <v>44896</v>
      </c>
      <c r="C140" s="34" t="s">
        <v>262</v>
      </c>
      <c r="D140" s="34" t="s">
        <v>119</v>
      </c>
      <c r="E140" s="34" t="s">
        <v>263</v>
      </c>
      <c r="F140" s="34" t="s">
        <v>264</v>
      </c>
      <c r="G140" s="34" t="s">
        <v>122</v>
      </c>
      <c r="H140" s="34" t="s">
        <v>123</v>
      </c>
      <c r="I140" s="34"/>
    </row>
    <row r="141" spans="1:9" x14ac:dyDescent="0.25">
      <c r="A141" s="83">
        <v>49</v>
      </c>
      <c r="B141" s="84">
        <v>44927</v>
      </c>
      <c r="C141" s="34" t="s">
        <v>265</v>
      </c>
      <c r="D141" s="34" t="s">
        <v>119</v>
      </c>
      <c r="E141" s="34" t="s">
        <v>266</v>
      </c>
      <c r="F141" s="34" t="s">
        <v>267</v>
      </c>
      <c r="G141" s="34" t="s">
        <v>122</v>
      </c>
      <c r="H141" s="34" t="s">
        <v>123</v>
      </c>
      <c r="I141" s="34"/>
    </row>
    <row r="142" spans="1:9" x14ac:dyDescent="0.25">
      <c r="A142" s="83">
        <v>50</v>
      </c>
      <c r="B142" s="84">
        <v>44958</v>
      </c>
      <c r="C142" s="34" t="s">
        <v>268</v>
      </c>
      <c r="D142" s="34" t="s">
        <v>119</v>
      </c>
      <c r="E142" s="34" t="s">
        <v>269</v>
      </c>
      <c r="F142" s="34" t="s">
        <v>270</v>
      </c>
      <c r="G142" s="34" t="s">
        <v>122</v>
      </c>
      <c r="H142" s="34" t="s">
        <v>123</v>
      </c>
      <c r="I142" s="34"/>
    </row>
    <row r="143" spans="1:9" x14ac:dyDescent="0.25">
      <c r="A143" s="83">
        <v>51</v>
      </c>
      <c r="B143" s="84">
        <v>44986</v>
      </c>
      <c r="C143" s="34" t="s">
        <v>271</v>
      </c>
      <c r="D143" s="34" t="s">
        <v>119</v>
      </c>
      <c r="E143" s="34" t="s">
        <v>272</v>
      </c>
      <c r="F143" s="34" t="s">
        <v>273</v>
      </c>
      <c r="G143" s="34" t="s">
        <v>122</v>
      </c>
      <c r="H143" s="34" t="s">
        <v>123</v>
      </c>
      <c r="I143" s="34"/>
    </row>
    <row r="144" spans="1:9" x14ac:dyDescent="0.25">
      <c r="A144" s="83">
        <v>52</v>
      </c>
      <c r="B144" s="84">
        <v>45017</v>
      </c>
      <c r="C144" s="34" t="s">
        <v>274</v>
      </c>
      <c r="D144" s="34" t="s">
        <v>119</v>
      </c>
      <c r="E144" s="34" t="s">
        <v>275</v>
      </c>
      <c r="F144" s="34" t="s">
        <v>276</v>
      </c>
      <c r="G144" s="34" t="s">
        <v>122</v>
      </c>
      <c r="H144" s="34" t="s">
        <v>123</v>
      </c>
      <c r="I144" s="34"/>
    </row>
    <row r="145" spans="1:9" x14ac:dyDescent="0.25">
      <c r="A145" s="83">
        <v>53</v>
      </c>
      <c r="B145" s="84">
        <v>45047</v>
      </c>
      <c r="C145" s="34" t="s">
        <v>277</v>
      </c>
      <c r="D145" s="34" t="s">
        <v>119</v>
      </c>
      <c r="E145" s="34" t="s">
        <v>278</v>
      </c>
      <c r="F145" s="34" t="s">
        <v>279</v>
      </c>
      <c r="G145" s="34" t="s">
        <v>122</v>
      </c>
      <c r="H145" s="34" t="s">
        <v>123</v>
      </c>
      <c r="I145" s="34"/>
    </row>
    <row r="146" spans="1:9" x14ac:dyDescent="0.25">
      <c r="A146" s="83">
        <v>54</v>
      </c>
      <c r="B146" s="84">
        <v>45078</v>
      </c>
      <c r="C146" s="34" t="s">
        <v>280</v>
      </c>
      <c r="D146" s="34" t="s">
        <v>119</v>
      </c>
      <c r="E146" s="34" t="s">
        <v>281</v>
      </c>
      <c r="F146" s="34" t="s">
        <v>282</v>
      </c>
      <c r="G146" s="34" t="s">
        <v>122</v>
      </c>
      <c r="H146" s="34" t="s">
        <v>123</v>
      </c>
      <c r="I146" s="34"/>
    </row>
    <row r="147" spans="1:9" x14ac:dyDescent="0.25">
      <c r="A147" s="83">
        <v>55</v>
      </c>
      <c r="B147" s="84">
        <v>45108</v>
      </c>
      <c r="C147" s="34" t="s">
        <v>283</v>
      </c>
      <c r="D147" s="34" t="s">
        <v>119</v>
      </c>
      <c r="E147" s="34" t="s">
        <v>284</v>
      </c>
      <c r="F147" s="34" t="s">
        <v>285</v>
      </c>
      <c r="G147" s="34" t="s">
        <v>122</v>
      </c>
      <c r="H147" s="34" t="s">
        <v>123</v>
      </c>
      <c r="I147" s="34"/>
    </row>
    <row r="148" spans="1:9" x14ac:dyDescent="0.25">
      <c r="A148" s="83">
        <v>56</v>
      </c>
      <c r="B148" s="84">
        <v>45139</v>
      </c>
      <c r="C148" s="34" t="s">
        <v>286</v>
      </c>
      <c r="D148" s="34" t="s">
        <v>119</v>
      </c>
      <c r="E148" s="34" t="s">
        <v>287</v>
      </c>
      <c r="F148" s="34" t="s">
        <v>288</v>
      </c>
      <c r="G148" s="34" t="s">
        <v>122</v>
      </c>
      <c r="H148" s="34" t="s">
        <v>123</v>
      </c>
      <c r="I148" s="34"/>
    </row>
    <row r="149" spans="1:9" x14ac:dyDescent="0.25">
      <c r="A149" s="83">
        <v>57</v>
      </c>
      <c r="B149" s="84">
        <v>45170</v>
      </c>
      <c r="C149" s="34" t="s">
        <v>289</v>
      </c>
      <c r="D149" s="34" t="s">
        <v>119</v>
      </c>
      <c r="E149" s="34" t="s">
        <v>290</v>
      </c>
      <c r="F149" s="34" t="s">
        <v>291</v>
      </c>
      <c r="G149" s="34" t="s">
        <v>122</v>
      </c>
      <c r="H149" s="34" t="s">
        <v>123</v>
      </c>
      <c r="I149" s="34"/>
    </row>
    <row r="150" spans="1:9" x14ac:dyDescent="0.25">
      <c r="A150" s="83">
        <v>58</v>
      </c>
      <c r="B150" s="84">
        <v>45200</v>
      </c>
      <c r="C150" s="34" t="s">
        <v>292</v>
      </c>
      <c r="D150" s="34" t="s">
        <v>119</v>
      </c>
      <c r="E150" s="34" t="s">
        <v>293</v>
      </c>
      <c r="F150" s="34" t="s">
        <v>294</v>
      </c>
      <c r="G150" s="34" t="s">
        <v>122</v>
      </c>
      <c r="H150" s="34" t="s">
        <v>123</v>
      </c>
      <c r="I150" s="34"/>
    </row>
    <row r="151" spans="1:9" x14ac:dyDescent="0.25">
      <c r="A151" s="83">
        <v>59</v>
      </c>
      <c r="B151" s="84">
        <v>45231</v>
      </c>
      <c r="C151" s="34" t="s">
        <v>295</v>
      </c>
      <c r="D151" s="34" t="s">
        <v>119</v>
      </c>
      <c r="E151" s="34" t="s">
        <v>296</v>
      </c>
      <c r="F151" s="34" t="s">
        <v>297</v>
      </c>
      <c r="G151" s="34" t="s">
        <v>122</v>
      </c>
      <c r="H151" s="34" t="s">
        <v>123</v>
      </c>
      <c r="I151" s="34"/>
    </row>
    <row r="152" spans="1:9" x14ac:dyDescent="0.25">
      <c r="A152" s="83">
        <v>60</v>
      </c>
      <c r="B152" s="84">
        <v>45261</v>
      </c>
      <c r="C152" s="34" t="s">
        <v>298</v>
      </c>
      <c r="D152" s="34" t="s">
        <v>119</v>
      </c>
      <c r="E152" s="34" t="s">
        <v>299</v>
      </c>
      <c r="F152" s="34" t="s">
        <v>300</v>
      </c>
      <c r="G152" s="34" t="s">
        <v>122</v>
      </c>
      <c r="H152" s="34" t="s">
        <v>123</v>
      </c>
      <c r="I152" s="34"/>
    </row>
    <row r="153" spans="1:9" x14ac:dyDescent="0.25">
      <c r="A153" s="83">
        <v>61</v>
      </c>
      <c r="B153" s="84">
        <v>45292</v>
      </c>
      <c r="C153" s="34" t="s">
        <v>301</v>
      </c>
      <c r="D153" s="34" t="s">
        <v>119</v>
      </c>
      <c r="E153" s="34" t="s">
        <v>302</v>
      </c>
      <c r="F153" s="34" t="s">
        <v>303</v>
      </c>
      <c r="G153" s="34" t="s">
        <v>122</v>
      </c>
      <c r="H153" s="34" t="s">
        <v>123</v>
      </c>
      <c r="I153" s="34"/>
    </row>
    <row r="154" spans="1:9" x14ac:dyDescent="0.25">
      <c r="A154" s="83">
        <v>62</v>
      </c>
      <c r="B154" s="84">
        <v>45323</v>
      </c>
      <c r="C154" s="34" t="s">
        <v>304</v>
      </c>
      <c r="D154" s="34" t="s">
        <v>119</v>
      </c>
      <c r="E154" s="34" t="s">
        <v>305</v>
      </c>
      <c r="F154" s="34" t="s">
        <v>306</v>
      </c>
      <c r="G154" s="34" t="s">
        <v>122</v>
      </c>
      <c r="H154" s="34" t="s">
        <v>123</v>
      </c>
      <c r="I154" s="34"/>
    </row>
    <row r="155" spans="1:9" x14ac:dyDescent="0.25">
      <c r="A155" s="83">
        <v>63</v>
      </c>
      <c r="B155" s="84">
        <v>45352</v>
      </c>
      <c r="C155" s="34" t="s">
        <v>307</v>
      </c>
      <c r="D155" s="34" t="s">
        <v>119</v>
      </c>
      <c r="E155" s="34" t="s">
        <v>308</v>
      </c>
      <c r="F155" s="34" t="s">
        <v>309</v>
      </c>
      <c r="G155" s="34" t="s">
        <v>122</v>
      </c>
      <c r="H155" s="34" t="s">
        <v>123</v>
      </c>
      <c r="I155" s="34"/>
    </row>
    <row r="156" spans="1:9" x14ac:dyDescent="0.25">
      <c r="A156" s="83">
        <v>64</v>
      </c>
      <c r="B156" s="84">
        <v>45383</v>
      </c>
      <c r="C156" s="34" t="s">
        <v>310</v>
      </c>
      <c r="D156" s="34" t="s">
        <v>119</v>
      </c>
      <c r="E156" s="34" t="s">
        <v>311</v>
      </c>
      <c r="F156" s="34" t="s">
        <v>312</v>
      </c>
      <c r="G156" s="34" t="s">
        <v>122</v>
      </c>
      <c r="H156" s="34" t="s">
        <v>123</v>
      </c>
      <c r="I156" s="34"/>
    </row>
    <row r="157" spans="1:9" x14ac:dyDescent="0.25">
      <c r="A157" s="83">
        <v>65</v>
      </c>
      <c r="B157" s="84">
        <v>45413</v>
      </c>
      <c r="C157" s="34" t="s">
        <v>313</v>
      </c>
      <c r="D157" s="34" t="s">
        <v>119</v>
      </c>
      <c r="E157" s="34" t="s">
        <v>314</v>
      </c>
      <c r="F157" s="34" t="s">
        <v>315</v>
      </c>
      <c r="G157" s="34" t="s">
        <v>122</v>
      </c>
      <c r="H157" s="34" t="s">
        <v>123</v>
      </c>
      <c r="I157" s="34"/>
    </row>
    <row r="158" spans="1:9" x14ac:dyDescent="0.25">
      <c r="A158" s="83">
        <v>66</v>
      </c>
      <c r="B158" s="84">
        <v>45444</v>
      </c>
      <c r="C158" s="34" t="s">
        <v>316</v>
      </c>
      <c r="D158" s="34" t="s">
        <v>119</v>
      </c>
      <c r="E158" s="34" t="s">
        <v>317</v>
      </c>
      <c r="F158" s="34" t="s">
        <v>318</v>
      </c>
      <c r="G158" s="34" t="s">
        <v>122</v>
      </c>
      <c r="H158" s="34" t="s">
        <v>123</v>
      </c>
      <c r="I158" s="34"/>
    </row>
    <row r="159" spans="1:9" x14ac:dyDescent="0.25">
      <c r="A159" s="83">
        <v>67</v>
      </c>
      <c r="B159" s="84">
        <v>45474</v>
      </c>
      <c r="C159" s="34" t="s">
        <v>319</v>
      </c>
      <c r="D159" s="34" t="s">
        <v>119</v>
      </c>
      <c r="E159" s="34" t="s">
        <v>320</v>
      </c>
      <c r="F159" s="34" t="s">
        <v>321</v>
      </c>
      <c r="G159" s="34" t="s">
        <v>122</v>
      </c>
      <c r="H159" s="34" t="s">
        <v>123</v>
      </c>
      <c r="I159" s="34"/>
    </row>
    <row r="160" spans="1:9" x14ac:dyDescent="0.25">
      <c r="A160" s="83">
        <v>68</v>
      </c>
      <c r="B160" s="84">
        <v>45505</v>
      </c>
      <c r="C160" s="34" t="s">
        <v>322</v>
      </c>
      <c r="D160" s="34" t="s">
        <v>119</v>
      </c>
      <c r="E160" s="34" t="s">
        <v>323</v>
      </c>
      <c r="F160" s="34" t="s">
        <v>324</v>
      </c>
      <c r="G160" s="34" t="s">
        <v>122</v>
      </c>
      <c r="H160" s="34" t="s">
        <v>123</v>
      </c>
      <c r="I160" s="34"/>
    </row>
    <row r="161" spans="1:9" x14ac:dyDescent="0.25">
      <c r="A161" s="83">
        <v>69</v>
      </c>
      <c r="B161" s="84">
        <v>45536</v>
      </c>
      <c r="C161" s="34" t="s">
        <v>325</v>
      </c>
      <c r="D161" s="34" t="s">
        <v>119</v>
      </c>
      <c r="E161" s="34" t="s">
        <v>326</v>
      </c>
      <c r="F161" s="34" t="s">
        <v>327</v>
      </c>
      <c r="G161" s="34" t="s">
        <v>122</v>
      </c>
      <c r="H161" s="34" t="s">
        <v>123</v>
      </c>
      <c r="I161" s="34"/>
    </row>
    <row r="162" spans="1:9" x14ac:dyDescent="0.25">
      <c r="A162" s="83">
        <v>70</v>
      </c>
      <c r="B162" s="84">
        <v>45566</v>
      </c>
      <c r="C162" s="34" t="s">
        <v>328</v>
      </c>
      <c r="D162" s="34" t="s">
        <v>119</v>
      </c>
      <c r="E162" s="34" t="s">
        <v>329</v>
      </c>
      <c r="F162" s="34" t="s">
        <v>330</v>
      </c>
      <c r="G162" s="34" t="s">
        <v>122</v>
      </c>
      <c r="H162" s="34" t="s">
        <v>123</v>
      </c>
      <c r="I162" s="34"/>
    </row>
    <row r="163" spans="1:9" x14ac:dyDescent="0.25">
      <c r="A163" s="83">
        <v>71</v>
      </c>
      <c r="B163" s="84">
        <v>45597</v>
      </c>
      <c r="C163" s="34" t="s">
        <v>331</v>
      </c>
      <c r="D163" s="34" t="s">
        <v>119</v>
      </c>
      <c r="E163" s="34" t="s">
        <v>332</v>
      </c>
      <c r="F163" s="34" t="s">
        <v>333</v>
      </c>
      <c r="G163" s="34" t="s">
        <v>122</v>
      </c>
      <c r="H163" s="34" t="s">
        <v>123</v>
      </c>
      <c r="I163" s="34"/>
    </row>
    <row r="164" spans="1:9" x14ac:dyDescent="0.25">
      <c r="A164" s="83">
        <v>72</v>
      </c>
      <c r="B164" s="84">
        <v>45627</v>
      </c>
      <c r="C164" s="34" t="s">
        <v>334</v>
      </c>
      <c r="D164" s="34" t="s">
        <v>119</v>
      </c>
      <c r="E164" s="34" t="s">
        <v>335</v>
      </c>
      <c r="F164" s="34" t="s">
        <v>336</v>
      </c>
      <c r="G164" s="34" t="s">
        <v>122</v>
      </c>
      <c r="H164" s="34" t="s">
        <v>123</v>
      </c>
      <c r="I164" s="34"/>
    </row>
    <row r="165" spans="1:9" x14ac:dyDescent="0.25">
      <c r="A165" s="83">
        <v>73</v>
      </c>
      <c r="B165" s="84">
        <v>45658</v>
      </c>
      <c r="C165" s="34" t="s">
        <v>337</v>
      </c>
      <c r="D165" s="34" t="s">
        <v>119</v>
      </c>
      <c r="E165" s="34" t="s">
        <v>338</v>
      </c>
      <c r="F165" s="34" t="s">
        <v>339</v>
      </c>
      <c r="G165" s="34" t="s">
        <v>122</v>
      </c>
      <c r="H165" s="34" t="s">
        <v>123</v>
      </c>
      <c r="I165" s="34"/>
    </row>
    <row r="166" spans="1:9" x14ac:dyDescent="0.25">
      <c r="A166" s="83">
        <v>74</v>
      </c>
      <c r="B166" s="84">
        <v>45689</v>
      </c>
      <c r="C166" s="34" t="s">
        <v>340</v>
      </c>
      <c r="D166" s="34" t="s">
        <v>119</v>
      </c>
      <c r="E166" s="34" t="s">
        <v>341</v>
      </c>
      <c r="F166" s="34" t="s">
        <v>342</v>
      </c>
      <c r="G166" s="34" t="s">
        <v>122</v>
      </c>
      <c r="H166" s="34" t="s">
        <v>123</v>
      </c>
      <c r="I166" s="34"/>
    </row>
    <row r="167" spans="1:9" x14ac:dyDescent="0.25">
      <c r="A167" s="83">
        <v>75</v>
      </c>
      <c r="B167" s="84">
        <v>45717</v>
      </c>
      <c r="C167" s="34" t="s">
        <v>343</v>
      </c>
      <c r="D167" s="34" t="s">
        <v>119</v>
      </c>
      <c r="E167" s="34" t="s">
        <v>344</v>
      </c>
      <c r="F167" s="34" t="s">
        <v>345</v>
      </c>
      <c r="G167" s="34" t="s">
        <v>122</v>
      </c>
      <c r="H167" s="34" t="s">
        <v>123</v>
      </c>
      <c r="I167" s="34"/>
    </row>
    <row r="168" spans="1:9" x14ac:dyDescent="0.25">
      <c r="A168" s="83">
        <v>76</v>
      </c>
      <c r="B168" s="84">
        <v>45748</v>
      </c>
      <c r="C168" s="34" t="s">
        <v>346</v>
      </c>
      <c r="D168" s="34" t="s">
        <v>119</v>
      </c>
      <c r="E168" s="34" t="s">
        <v>347</v>
      </c>
      <c r="F168" s="34" t="s">
        <v>348</v>
      </c>
      <c r="G168" s="34" t="s">
        <v>122</v>
      </c>
      <c r="H168" s="34" t="s">
        <v>123</v>
      </c>
      <c r="I168" s="34"/>
    </row>
    <row r="169" spans="1:9" x14ac:dyDescent="0.25">
      <c r="A169" s="83">
        <v>77</v>
      </c>
      <c r="B169" s="84">
        <v>45778</v>
      </c>
      <c r="C169" s="34" t="s">
        <v>349</v>
      </c>
      <c r="D169" s="34" t="s">
        <v>119</v>
      </c>
      <c r="E169" s="34" t="s">
        <v>350</v>
      </c>
      <c r="F169" s="34" t="s">
        <v>351</v>
      </c>
      <c r="G169" s="34" t="s">
        <v>122</v>
      </c>
      <c r="H169" s="34" t="s">
        <v>123</v>
      </c>
      <c r="I169" s="34"/>
    </row>
    <row r="170" spans="1:9" x14ac:dyDescent="0.25">
      <c r="A170" s="83">
        <v>78</v>
      </c>
      <c r="B170" s="84">
        <v>45809</v>
      </c>
      <c r="C170" s="34" t="s">
        <v>352</v>
      </c>
      <c r="D170" s="34" t="s">
        <v>119</v>
      </c>
      <c r="E170" s="34" t="s">
        <v>353</v>
      </c>
      <c r="F170" s="34" t="s">
        <v>354</v>
      </c>
      <c r="G170" s="34" t="s">
        <v>122</v>
      </c>
      <c r="H170" s="34" t="s">
        <v>123</v>
      </c>
      <c r="I170" s="34"/>
    </row>
    <row r="171" spans="1:9" x14ac:dyDescent="0.25">
      <c r="A171" s="83">
        <v>79</v>
      </c>
      <c r="B171" s="84">
        <v>45839</v>
      </c>
      <c r="C171" s="34" t="s">
        <v>355</v>
      </c>
      <c r="D171" s="34" t="s">
        <v>119</v>
      </c>
      <c r="E171" s="34" t="s">
        <v>356</v>
      </c>
      <c r="F171" s="34" t="s">
        <v>357</v>
      </c>
      <c r="G171" s="34" t="s">
        <v>122</v>
      </c>
      <c r="H171" s="34" t="s">
        <v>123</v>
      </c>
      <c r="I171" s="34"/>
    </row>
    <row r="172" spans="1:9" x14ac:dyDescent="0.25">
      <c r="A172" s="83">
        <v>80</v>
      </c>
      <c r="B172" s="84">
        <v>45870</v>
      </c>
      <c r="C172" s="34" t="s">
        <v>358</v>
      </c>
      <c r="D172" s="34" t="s">
        <v>119</v>
      </c>
      <c r="E172" s="34" t="s">
        <v>359</v>
      </c>
      <c r="F172" s="34" t="s">
        <v>360</v>
      </c>
      <c r="G172" s="34" t="s">
        <v>122</v>
      </c>
      <c r="H172" s="34" t="s">
        <v>123</v>
      </c>
      <c r="I172" s="34"/>
    </row>
    <row r="173" spans="1:9" x14ac:dyDescent="0.25">
      <c r="A173" s="83">
        <v>81</v>
      </c>
      <c r="B173" s="84">
        <v>45901</v>
      </c>
      <c r="C173" s="34" t="s">
        <v>361</v>
      </c>
      <c r="D173" s="34" t="s">
        <v>119</v>
      </c>
      <c r="E173" s="34" t="s">
        <v>362</v>
      </c>
      <c r="F173" s="34" t="s">
        <v>363</v>
      </c>
      <c r="G173" s="34" t="s">
        <v>122</v>
      </c>
      <c r="H173" s="34" t="s">
        <v>123</v>
      </c>
      <c r="I173" s="34"/>
    </row>
    <row r="174" spans="1:9" x14ac:dyDescent="0.25">
      <c r="A174" s="83">
        <v>82</v>
      </c>
      <c r="B174" s="84">
        <v>45931</v>
      </c>
      <c r="C174" s="34" t="s">
        <v>364</v>
      </c>
      <c r="D174" s="34" t="s">
        <v>119</v>
      </c>
      <c r="E174" s="34" t="s">
        <v>365</v>
      </c>
      <c r="F174" s="34" t="s">
        <v>366</v>
      </c>
      <c r="G174" s="34" t="s">
        <v>122</v>
      </c>
      <c r="H174" s="34" t="s">
        <v>123</v>
      </c>
      <c r="I174" s="34"/>
    </row>
    <row r="175" spans="1:9" x14ac:dyDescent="0.25">
      <c r="A175" s="83">
        <v>83</v>
      </c>
      <c r="B175" s="84">
        <v>45962</v>
      </c>
      <c r="C175" s="34" t="s">
        <v>367</v>
      </c>
      <c r="D175" s="34" t="s">
        <v>119</v>
      </c>
      <c r="E175" s="34" t="s">
        <v>368</v>
      </c>
      <c r="F175" s="34" t="s">
        <v>369</v>
      </c>
      <c r="G175" s="34" t="s">
        <v>122</v>
      </c>
      <c r="H175" s="34" t="s">
        <v>123</v>
      </c>
      <c r="I175" s="34"/>
    </row>
    <row r="176" spans="1:9" x14ac:dyDescent="0.25">
      <c r="A176" s="83">
        <v>84</v>
      </c>
      <c r="B176" s="84">
        <v>45992</v>
      </c>
      <c r="C176" s="34" t="s">
        <v>370</v>
      </c>
      <c r="D176" s="34" t="s">
        <v>119</v>
      </c>
      <c r="E176" s="34" t="s">
        <v>367</v>
      </c>
      <c r="F176" s="34" t="s">
        <v>371</v>
      </c>
      <c r="G176" s="34" t="s">
        <v>122</v>
      </c>
      <c r="H176" s="34" t="s">
        <v>123</v>
      </c>
      <c r="I176" s="34"/>
    </row>
    <row r="177" spans="2:9" x14ac:dyDescent="0.25">
      <c r="B177" s="83"/>
      <c r="C177" s="84"/>
      <c r="D177" s="34"/>
      <c r="E177" s="34"/>
      <c r="F177" s="34"/>
      <c r="G177" s="34"/>
      <c r="H177" s="34"/>
      <c r="I177" s="34"/>
    </row>
    <row r="178" spans="2:9" x14ac:dyDescent="0.25">
      <c r="I178" s="34"/>
    </row>
  </sheetData>
  <phoneticPr fontId="8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Masse salariale et CA indiv</vt:lpstr>
      <vt:lpstr>Compte d'exploitation </vt:lpstr>
      <vt:lpstr>simulation emprunt</vt:lpstr>
      <vt:lpstr>'simulation emprunt'!Zone_d_impression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</dc:creator>
  <cp:lastModifiedBy>jeremy livet</cp:lastModifiedBy>
  <cp:lastPrinted>2025-11-28T13:30:39Z</cp:lastPrinted>
  <dcterms:created xsi:type="dcterms:W3CDTF">2010-11-12T15:45:53Z</dcterms:created>
  <dcterms:modified xsi:type="dcterms:W3CDTF">2025-11-29T09:03:42Z</dcterms:modified>
</cp:coreProperties>
</file>